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ämäTyökirja"/>
  <mc:AlternateContent xmlns:mc="http://schemas.openxmlformats.org/markup-compatibility/2006">
    <mc:Choice Requires="x15">
      <x15ac:absPath xmlns:x15ac="http://schemas.microsoft.com/office/spreadsheetml/2010/11/ac" url="https://lappeenranta-my.sharepoint.com/personal/tanja_nyholm_lappeenranta_fi/Documents/E4Blaskuri/"/>
    </mc:Choice>
  </mc:AlternateContent>
  <xr:revisionPtr revIDLastSave="2" documentId="11_827C6B5EDC843314F5F6275F28E054EE69FD8A0D" xr6:coauthVersionLast="47" xr6:coauthVersionMax="47" xr10:uidLastSave="{3E00F935-13E4-44CC-BE33-BB668879586E}"/>
  <bookViews>
    <workbookView xWindow="28680" yWindow="-120" windowWidth="29040" windowHeight="15840" firstSheet="1" activeTab="2" xr2:uid="{00000000-000D-0000-FFFF-FFFF00000000}"/>
  </bookViews>
  <sheets>
    <sheet name="Decrease energy and costs" sheetId="1" state="hidden" r:id="rId1"/>
    <sheet name="1. Guidance for using tool" sheetId="38" r:id="rId2"/>
    <sheet name="2. Inputs and results" sheetId="17" r:id="rId3"/>
    <sheet name="Ventilation system" sheetId="42" state="hidden" r:id="rId4"/>
    <sheet name="Cooling system" sheetId="41" state="hidden" r:id="rId5"/>
    <sheet name="Type of building" sheetId="40" state="hidden" r:id="rId6"/>
    <sheet name="3. Package of Charts" sheetId="39" r:id="rId7"/>
    <sheet name="4. Cash flow " sheetId="31" r:id="rId8"/>
    <sheet name="5. NPV" sheetId="30" r:id="rId9"/>
    <sheet name="5. Return on investment" sheetId="33" state="hidden" r:id="rId10"/>
    <sheet name="6. Pay back time" sheetId="28" r:id="rId11"/>
    <sheet name="7. Change of CO2 emissions" sheetId="25" r:id="rId12"/>
    <sheet name="Change log (hidden)" sheetId="34" state="hidden" r:id="rId13"/>
    <sheet name="Heating system (hidden)" sheetId="35" state="hidden" r:id="rId14"/>
    <sheet name="Solution 1, (hidden)" sheetId="11" state="hidden" r:id="rId15"/>
    <sheet name="Solution  2, (hidden)" sheetId="19" state="hidden" r:id="rId16"/>
    <sheet name="Solution 1, (hidden) (2)" sheetId="36" state="hidden" r:id="rId17"/>
    <sheet name="Solution  2, (hidden) (2)" sheetId="37" state="hidden" r:id="rId18"/>
  </sheets>
  <definedNames>
    <definedName name="Cashflow_1">OFFSET('4. Cash flow '!$F$12,0,0,COUNT('4. Cash flow '!$F:$F))</definedName>
    <definedName name="Cashflow_1_ep_change2">OFFSET('4. Cash flow '!$J$12,0,0,COUNT('4. Cash flow '!$J:$J))</definedName>
    <definedName name="Cashflow_1ep_change">OFFSET('4. Cash flow '!$H$12,0,0,COUNT('4. Cash flow '!$H:$H))</definedName>
    <definedName name="Cashflow_2">OFFSET('4. Cash flow '!$G$12,0,0,COUNT('4. Cash flow '!$G:$G))</definedName>
    <definedName name="Cashflow_2ep_change">OFFSET('4. Cash flow '!$I$12,0,0,COUNT('4. Cash flow '!$I:$I))</definedName>
    <definedName name="Cashflow_2ep_change2">OFFSET('4. Cash flow '!$K$12,0,0,COUNT('4. Cash flow '!$K:$K))</definedName>
    <definedName name="CO2_1">OFFSET('7. Change of CO2 emissions'!$F$13,0,0,COUNT('7. Change of CO2 emissions'!$F:$F))</definedName>
    <definedName name="CO2_2">OFFSET('7. Change of CO2 emissions'!$G$13,0,0,COUNT('7. Change of CO2 emissions'!$G:$G))</definedName>
    <definedName name="NPV_1">OFFSET('5. NPV'!$F$12,0,0,COUNT('5. NPV'!$F:$F))</definedName>
    <definedName name="NPV_1ep_change">OFFSET('5. NPV'!$H$12,0,0,COUNT('5. NPV'!$H:$H))</definedName>
    <definedName name="NPV_1ep_change2">OFFSET('5. NPV'!$J$12,0,0,COUNT('5. NPV'!$J:$J))</definedName>
    <definedName name="NPV_2">OFFSET('5. NPV'!$G$12,0,0,COUNT('5. NPV'!$G:$G))</definedName>
    <definedName name="NPV_2ep_change">OFFSET('5. NPV'!$I$12,0,0,COUNT('5. NPV'!$I:$I))</definedName>
    <definedName name="NPV_2ep_change2">OFFSET('5. NPV'!$K$12,0,0,COUNT('5. NPV'!$K:$K))</definedName>
    <definedName name="Payback_1">OFFSET('6. Pay back time'!$H$14,0,0,COUNT('6. Pay back time'!$H:$H))</definedName>
    <definedName name="Payback_1_invest">OFFSET('6. Pay back time'!$F$14,0,0,COUNT('6. Pay back time'!$F:$F))</definedName>
    <definedName name="Payback_1ep_change">OFFSET('6. Pay back time'!$J$14,0,0,COUNT('6. Pay back time'!$J:$J))</definedName>
    <definedName name="Payback_1ep_change2">OFFSET('6. Pay back time'!$L$14,0,0,COUNT('6. Pay back time'!$L:$L))</definedName>
    <definedName name="Payback_2">OFFSET('6. Pay back time'!$I$14,0,0,COUNT('6. Pay back time'!$I:$I))</definedName>
    <definedName name="Payback_2_invest">OFFSET('6. Pay back time'!$G$14,0,0,COUNT('6. Pay back time'!$G:$G))</definedName>
    <definedName name="Payback_2ep_change">OFFSET('6. Pay back time'!$K$14,0,0,COUNT('6. Pay back time'!$K:$K))</definedName>
    <definedName name="Payback_2ep_change2">OFFSET('6. Pay back time'!$M$14,0,0,COUNT('6. Pay back time'!$M:$M))</definedName>
    <definedName name="Return_on_investment_1">OFFSET('5. Return on investment'!$K$4,0,0,COUNT('5. Return on investment'!$K:$K))</definedName>
    <definedName name="Return_on_investment_1ep_change">OFFSET('5. Return on investment'!$M$4,0,0,COUNT('5. Return on investment'!$M:$M))</definedName>
    <definedName name="Return_on_investment_2">OFFSET('5. Return on investment'!$L$4,0,0,COUNT('5. Return on investment'!$L:$L))</definedName>
    <definedName name="Return_on_investment_2ep_change">OFFSET('5. Return on investment'!$N$4,0,0,COUNT('5. Return on investment'!$N:$N))</definedName>
    <definedName name="_xlnm.Print_Area" localSheetId="2">'2. Inputs and results'!$A$1:$C$162</definedName>
    <definedName name="_xlnm.Print_Area" localSheetId="6">'3. Package of Charts'!$A$1:$J$102</definedName>
    <definedName name="Year_1Cf">OFFSET('4. Cash flow '!$C$12,0,0,COUNT('4. Cash flow '!$C:$C))</definedName>
    <definedName name="Year_1CO2">OFFSET('7. Change of CO2 emissions'!$C$13,0,0,COUNT('7. Change of CO2 emissions'!$C:$C))</definedName>
    <definedName name="Year_1NPV">OFFSET('5. NPV'!$C$12,0,0,COUNT('5. NPV'!$C:$C))</definedName>
    <definedName name="Year_1Payback">OFFSET('6. Pay back time'!$C$14,0,0,COUNT('6. Pay back time'!$C:$C))</definedName>
    <definedName name="Year_1Return_on_investment">OFFSET('5. Return on investment'!$H$4,0,0,COUNT('5. Return on investment'!$H:$H))</definedName>
    <definedName name="Year_2Cf">OFFSET('4. Cash flow '!$D$12,0,0,COUNT('4. Cash flow '!$D:$D))</definedName>
    <definedName name="Year_2CO2">OFFSET('7. Change of CO2 emissions'!$D$13,0,0,COUNT('7. Change of CO2 emissions'!$D:$D))</definedName>
    <definedName name="Year_2NPV">OFFSET('5. NPV'!$D$12,0,0,COUNT('5. NPV'!$D:$D))</definedName>
    <definedName name="Year_2payback">OFFSET('6. Pay back time'!$D$14,0,0,COUNT('6. Pay back time'!$D:$D))</definedName>
    <definedName name="Year_2Return_on_investment">OFFSET('5. Return on investment'!$I$4,0,0,COUNT('5. Return on investment'!$I:$I))</definedName>
    <definedName name="Year_cf_biggest">OFFSET('4. Cash flow '!$E$12,0,0,COUNT('4. Cash flow '!$E:$E))</definedName>
    <definedName name="Year_CO2_biggest">OFFSET('7. Change of CO2 emissions'!$E$13,0,0,COUNT('7. Change of CO2 emissions'!$E:$E))</definedName>
    <definedName name="Year_NPV_biggest">OFFSET('5. NPV'!$E$12,0,0,COUNT('5. NPV'!$E:$E))</definedName>
    <definedName name="Year_paybacktime_biggest">OFFSET('6. Pay back time'!$E$14,0,0,COUNT('6. Pay back time'!$E:$E))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37" l="1"/>
  <c r="L6" i="37"/>
  <c r="A6" i="37"/>
  <c r="AC5" i="37"/>
  <c r="AD5" i="37" s="1"/>
  <c r="AB5" i="37"/>
  <c r="AA5" i="37"/>
  <c r="R5" i="37"/>
  <c r="U5" i="37" s="1"/>
  <c r="L5" i="37"/>
  <c r="W5" i="37" s="1"/>
  <c r="Z5" i="37" s="1"/>
  <c r="K5" i="37"/>
  <c r="D5" i="37"/>
  <c r="B5" i="37"/>
  <c r="P2" i="37"/>
  <c r="V6" i="36"/>
  <c r="L6" i="36"/>
  <c r="B6" i="36"/>
  <c r="A6" i="36"/>
  <c r="AC5" i="36"/>
  <c r="AA5" i="36"/>
  <c r="AB5" i="36" s="1"/>
  <c r="L5" i="36"/>
  <c r="R5" i="36" s="1"/>
  <c r="K5" i="36"/>
  <c r="D5" i="36"/>
  <c r="B5" i="36"/>
  <c r="P2" i="36"/>
  <c r="V6" i="19"/>
  <c r="L6" i="19"/>
  <c r="B6" i="19"/>
  <c r="A6" i="19"/>
  <c r="AC5" i="19"/>
  <c r="AA5" i="19"/>
  <c r="L5" i="19"/>
  <c r="R5" i="19" s="1"/>
  <c r="U5" i="19" s="1"/>
  <c r="K5" i="19"/>
  <c r="D5" i="19"/>
  <c r="B5" i="19"/>
  <c r="P2" i="19"/>
  <c r="V6" i="11"/>
  <c r="O6" i="11"/>
  <c r="M6" i="11"/>
  <c r="N6" i="11" s="1"/>
  <c r="L6" i="11"/>
  <c r="A6" i="11"/>
  <c r="AC5" i="11"/>
  <c r="AD5" i="11" s="1"/>
  <c r="K4" i="33" s="1"/>
  <c r="AA5" i="11"/>
  <c r="AB5" i="11" s="1"/>
  <c r="M4" i="33" s="1"/>
  <c r="R5" i="11"/>
  <c r="U5" i="11" s="1"/>
  <c r="L5" i="11"/>
  <c r="W5" i="11" s="1"/>
  <c r="Z5" i="11" s="1"/>
  <c r="K5" i="11"/>
  <c r="D5" i="11"/>
  <c r="B5" i="11"/>
  <c r="P2" i="11"/>
  <c r="E14" i="25"/>
  <c r="D14" i="25"/>
  <c r="E13" i="25"/>
  <c r="D13" i="25"/>
  <c r="C13" i="25"/>
  <c r="G12" i="25"/>
  <c r="F12" i="25"/>
  <c r="E12" i="25"/>
  <c r="B8" i="25"/>
  <c r="B7" i="25"/>
  <c r="B6" i="25"/>
  <c r="B4" i="25"/>
  <c r="B2" i="25"/>
  <c r="G15" i="28"/>
  <c r="F15" i="28"/>
  <c r="E15" i="28"/>
  <c r="D15" i="28"/>
  <c r="M14" i="28"/>
  <c r="L14" i="28"/>
  <c r="K14" i="28"/>
  <c r="J14" i="28"/>
  <c r="I14" i="28"/>
  <c r="H14" i="28"/>
  <c r="G14" i="28"/>
  <c r="F14" i="28"/>
  <c r="E14" i="28"/>
  <c r="D14" i="28"/>
  <c r="C14" i="28"/>
  <c r="M13" i="28"/>
  <c r="L13" i="28"/>
  <c r="K13" i="28"/>
  <c r="J13" i="28"/>
  <c r="I13" i="28"/>
  <c r="H13" i="28"/>
  <c r="G13" i="28"/>
  <c r="F13" i="28"/>
  <c r="B8" i="28"/>
  <c r="B7" i="28"/>
  <c r="B6" i="28"/>
  <c r="B4" i="28"/>
  <c r="B2" i="28"/>
  <c r="J5" i="33"/>
  <c r="I5" i="33"/>
  <c r="J4" i="33"/>
  <c r="I4" i="33"/>
  <c r="H4" i="33"/>
  <c r="N2" i="33"/>
  <c r="M2" i="33"/>
  <c r="L2" i="33"/>
  <c r="K2" i="33"/>
  <c r="E13" i="30"/>
  <c r="D13" i="30"/>
  <c r="K12" i="30"/>
  <c r="I12" i="30"/>
  <c r="H12" i="30"/>
  <c r="F12" i="30"/>
  <c r="E12" i="30"/>
  <c r="D12" i="30"/>
  <c r="C12" i="30"/>
  <c r="K10" i="30"/>
  <c r="J10" i="30"/>
  <c r="I10" i="30"/>
  <c r="H10" i="30"/>
  <c r="G10" i="30"/>
  <c r="F10" i="30"/>
  <c r="B8" i="30"/>
  <c r="B7" i="30"/>
  <c r="B6" i="30"/>
  <c r="B4" i="30"/>
  <c r="B2" i="30"/>
  <c r="E13" i="31"/>
  <c r="D13" i="31"/>
  <c r="Q12" i="31"/>
  <c r="O12" i="31"/>
  <c r="N12" i="31"/>
  <c r="M12" i="31"/>
  <c r="L12" i="31"/>
  <c r="K12" i="31"/>
  <c r="J12" i="31"/>
  <c r="I12" i="31"/>
  <c r="H12" i="31"/>
  <c r="F12" i="31"/>
  <c r="E12" i="31"/>
  <c r="D12" i="31"/>
  <c r="C12" i="31"/>
  <c r="K10" i="31"/>
  <c r="J10" i="31"/>
  <c r="I10" i="31"/>
  <c r="H10" i="31"/>
  <c r="G10" i="31"/>
  <c r="F10" i="31"/>
  <c r="E10" i="31"/>
  <c r="B8" i="31"/>
  <c r="B7" i="31"/>
  <c r="B6" i="31"/>
  <c r="B4" i="31"/>
  <c r="B2" i="31"/>
  <c r="E86" i="39"/>
  <c r="A86" i="39"/>
  <c r="E55" i="39"/>
  <c r="A55" i="39"/>
  <c r="E33" i="39"/>
  <c r="A33" i="39"/>
  <c r="E11" i="39"/>
  <c r="A11" i="39"/>
  <c r="B8" i="39"/>
  <c r="B7" i="39"/>
  <c r="B6" i="39"/>
  <c r="B4" i="39"/>
  <c r="B2" i="39"/>
  <c r="C139" i="17"/>
  <c r="B139" i="17"/>
  <c r="B133" i="17"/>
  <c r="C131" i="17"/>
  <c r="B131" i="17"/>
  <c r="B126" i="17"/>
  <c r="B124" i="17"/>
  <c r="AE5" i="36" s="1"/>
  <c r="AF5" i="36" s="1"/>
  <c r="C122" i="17"/>
  <c r="B122" i="17"/>
  <c r="C117" i="17"/>
  <c r="B117" i="17"/>
  <c r="C112" i="17"/>
  <c r="B112" i="17"/>
  <c r="B114" i="17" s="1"/>
  <c r="C110" i="17"/>
  <c r="C114" i="17" s="1"/>
  <c r="B110" i="17"/>
  <c r="C108" i="17"/>
  <c r="B108" i="17"/>
  <c r="B103" i="17"/>
  <c r="B99" i="17"/>
  <c r="B97" i="17"/>
  <c r="B95" i="17"/>
  <c r="G6" i="36" s="1"/>
  <c r="C93" i="17"/>
  <c r="B93" i="17"/>
  <c r="C87" i="17"/>
  <c r="C133" i="17" s="1"/>
  <c r="C85" i="17"/>
  <c r="B85" i="17"/>
  <c r="C73" i="17"/>
  <c r="B73" i="17"/>
  <c r="C66" i="17"/>
  <c r="C103" i="17" s="1"/>
  <c r="C63" i="17"/>
  <c r="B63" i="17"/>
  <c r="C54" i="17"/>
  <c r="C99" i="17" s="1"/>
  <c r="C51" i="17"/>
  <c r="B51" i="17"/>
  <c r="C42" i="17"/>
  <c r="C124" i="17" s="1"/>
  <c r="C39" i="17"/>
  <c r="B39" i="17"/>
  <c r="C30" i="17"/>
  <c r="C126" i="17" s="1"/>
  <c r="C27" i="17"/>
  <c r="B27" i="17"/>
  <c r="C25" i="17"/>
  <c r="B25" i="17"/>
  <c r="K20" i="1"/>
  <c r="G18" i="1"/>
  <c r="E18" i="1"/>
  <c r="C18" i="1"/>
  <c r="I16" i="1"/>
  <c r="C16" i="1"/>
  <c r="E16" i="1" s="1"/>
  <c r="E20" i="1" s="1"/>
  <c r="I12" i="1"/>
  <c r="C12" i="1"/>
  <c r="C20" i="1" s="1"/>
  <c r="E10" i="1"/>
  <c r="I8" i="1"/>
  <c r="I20" i="1" s="1"/>
  <c r="E8" i="1"/>
  <c r="C6" i="1"/>
  <c r="AE5" i="37" l="1"/>
  <c r="AF5" i="37" s="1"/>
  <c r="AE5" i="19"/>
  <c r="AF5" i="19" s="1"/>
  <c r="G13" i="25" s="1"/>
  <c r="C128" i="17"/>
  <c r="H6" i="37"/>
  <c r="H6" i="19"/>
  <c r="J6" i="37"/>
  <c r="J6" i="19"/>
  <c r="C95" i="17"/>
  <c r="AE5" i="11"/>
  <c r="AF5" i="11" s="1"/>
  <c r="F13" i="25" s="1"/>
  <c r="AE6" i="11"/>
  <c r="I6" i="36"/>
  <c r="K6" i="36" s="1"/>
  <c r="L15" i="28" s="1"/>
  <c r="I6" i="11"/>
  <c r="C97" i="17"/>
  <c r="G6" i="11"/>
  <c r="K6" i="11" s="1"/>
  <c r="J15" i="28" s="1"/>
  <c r="J6" i="36"/>
  <c r="P6" i="36" s="1"/>
  <c r="Q6" i="36" s="1"/>
  <c r="J6" i="11"/>
  <c r="H6" i="36"/>
  <c r="P13" i="31" s="1"/>
  <c r="H6" i="11"/>
  <c r="G12" i="1"/>
  <c r="G20" i="1" s="1"/>
  <c r="B101" i="17"/>
  <c r="B128" i="17"/>
  <c r="X6" i="11"/>
  <c r="Y6" i="11" s="1"/>
  <c r="AF6" i="11"/>
  <c r="F14" i="25" s="1"/>
  <c r="A7" i="11"/>
  <c r="AF6" i="19"/>
  <c r="G14" i="25" s="1"/>
  <c r="B6" i="11"/>
  <c r="S6" i="11"/>
  <c r="T6" i="11" s="1"/>
  <c r="U6" i="11" s="1"/>
  <c r="H13" i="30" s="1"/>
  <c r="W5" i="19"/>
  <c r="A7" i="19"/>
  <c r="S6" i="19"/>
  <c r="T6" i="19" s="1"/>
  <c r="AB5" i="19"/>
  <c r="N4" i="33" s="1"/>
  <c r="M6" i="19"/>
  <c r="U5" i="36"/>
  <c r="S6" i="36"/>
  <c r="T6" i="36" s="1"/>
  <c r="U6" i="36" s="1"/>
  <c r="J13" i="30" s="1"/>
  <c r="AD5" i="19"/>
  <c r="L4" i="33" s="1"/>
  <c r="N6" i="19"/>
  <c r="O6" i="19"/>
  <c r="AE6" i="19"/>
  <c r="X6" i="19"/>
  <c r="Y6" i="19" s="1"/>
  <c r="W5" i="36"/>
  <c r="Z5" i="36" s="1"/>
  <c r="A7" i="36"/>
  <c r="AA6" i="36"/>
  <c r="AB6" i="36" s="1"/>
  <c r="O6" i="37"/>
  <c r="M6" i="36"/>
  <c r="AD5" i="36"/>
  <c r="N6" i="36"/>
  <c r="O6" i="36"/>
  <c r="AE6" i="36"/>
  <c r="AF6" i="36" s="1"/>
  <c r="S6" i="37"/>
  <c r="T6" i="37" s="1"/>
  <c r="M6" i="37"/>
  <c r="N6" i="37"/>
  <c r="AE6" i="37"/>
  <c r="AF6" i="37" s="1"/>
  <c r="X6" i="37"/>
  <c r="Y6" i="37" s="1"/>
  <c r="A7" i="37"/>
  <c r="B6" i="37"/>
  <c r="C15" i="28" l="1"/>
  <c r="C14" i="25"/>
  <c r="H5" i="33"/>
  <c r="C13" i="30"/>
  <c r="C13" i="31"/>
  <c r="H7" i="36"/>
  <c r="AE7" i="36"/>
  <c r="AF7" i="36" s="1"/>
  <c r="O7" i="36"/>
  <c r="G7" i="36"/>
  <c r="P7" i="36" s="1"/>
  <c r="Q7" i="36" s="1"/>
  <c r="V7" i="36"/>
  <c r="M7" i="36"/>
  <c r="N7" i="36" s="1"/>
  <c r="L7" i="36"/>
  <c r="C7" i="36"/>
  <c r="A8" i="36"/>
  <c r="I7" i="36"/>
  <c r="B7" i="36"/>
  <c r="J7" i="36"/>
  <c r="Z5" i="19"/>
  <c r="G12" i="31"/>
  <c r="M7" i="11"/>
  <c r="L7" i="11"/>
  <c r="F16" i="28" s="1"/>
  <c r="S7" i="11"/>
  <c r="T7" i="11" s="1"/>
  <c r="U7" i="11" s="1"/>
  <c r="H14" i="30" s="1"/>
  <c r="C7" i="11"/>
  <c r="J7" i="11"/>
  <c r="B7" i="11"/>
  <c r="A8" i="11"/>
  <c r="I7" i="11"/>
  <c r="K7" i="11" s="1"/>
  <c r="J16" i="28" s="1"/>
  <c r="H7" i="11"/>
  <c r="V7" i="11"/>
  <c r="N7" i="11"/>
  <c r="AE7" i="11"/>
  <c r="AF7" i="11" s="1"/>
  <c r="F15" i="25" s="1"/>
  <c r="O7" i="11"/>
  <c r="G7" i="11"/>
  <c r="P7" i="11" s="1"/>
  <c r="Q7" i="11" s="1"/>
  <c r="C6" i="36"/>
  <c r="C6" i="11"/>
  <c r="B135" i="17"/>
  <c r="B105" i="17"/>
  <c r="B119" i="17" s="1"/>
  <c r="B141" i="17"/>
  <c r="I6" i="37"/>
  <c r="U6" i="37" s="1"/>
  <c r="I6" i="19"/>
  <c r="G6" i="37"/>
  <c r="G6" i="19"/>
  <c r="C101" i="17"/>
  <c r="N13" i="31"/>
  <c r="J12" i="30"/>
  <c r="P12" i="31"/>
  <c r="AA6" i="11"/>
  <c r="AB6" i="11" s="1"/>
  <c r="M5" i="33" s="1"/>
  <c r="P6" i="11"/>
  <c r="Q6" i="11" s="1"/>
  <c r="R6" i="11"/>
  <c r="H13" i="31" s="1"/>
  <c r="R6" i="36"/>
  <c r="J13" i="31" s="1"/>
  <c r="AF7" i="19"/>
  <c r="G15" i="25" s="1"/>
  <c r="H7" i="19"/>
  <c r="AE7" i="19"/>
  <c r="O7" i="19"/>
  <c r="G7" i="19"/>
  <c r="P7" i="19" s="1"/>
  <c r="V7" i="19"/>
  <c r="N7" i="19"/>
  <c r="M7" i="19"/>
  <c r="L7" i="19"/>
  <c r="G16" i="28" s="1"/>
  <c r="A8" i="19"/>
  <c r="I7" i="19"/>
  <c r="J7" i="19"/>
  <c r="B7" i="19"/>
  <c r="X6" i="36"/>
  <c r="Y6" i="36" s="1"/>
  <c r="J7" i="37"/>
  <c r="B7" i="37"/>
  <c r="A8" i="37"/>
  <c r="I7" i="37"/>
  <c r="H7" i="37"/>
  <c r="P7" i="37" s="1"/>
  <c r="AE7" i="37"/>
  <c r="AF7" i="37" s="1"/>
  <c r="O7" i="37"/>
  <c r="G7" i="37"/>
  <c r="V7" i="37"/>
  <c r="N7" i="37"/>
  <c r="M7" i="37"/>
  <c r="L7" i="37"/>
  <c r="K13" i="30" l="1"/>
  <c r="C135" i="17"/>
  <c r="C105" i="17"/>
  <c r="C119" i="17" s="1"/>
  <c r="C141" i="17"/>
  <c r="C6" i="19"/>
  <c r="Z6" i="19" s="1"/>
  <c r="C6" i="37"/>
  <c r="H8" i="36"/>
  <c r="AE8" i="36"/>
  <c r="AF8" i="36" s="1"/>
  <c r="O8" i="36"/>
  <c r="G8" i="36"/>
  <c r="P8" i="36" s="1"/>
  <c r="Q8" i="36" s="1"/>
  <c r="V8" i="36"/>
  <c r="M8" i="36"/>
  <c r="N8" i="36" s="1"/>
  <c r="L8" i="36"/>
  <c r="C8" i="36"/>
  <c r="A9" i="36"/>
  <c r="I8" i="36"/>
  <c r="J8" i="36"/>
  <c r="B8" i="36"/>
  <c r="J8" i="37"/>
  <c r="B8" i="37"/>
  <c r="A9" i="37"/>
  <c r="I8" i="37"/>
  <c r="AF8" i="37"/>
  <c r="P8" i="37"/>
  <c r="H8" i="37"/>
  <c r="AE8" i="37"/>
  <c r="O8" i="37"/>
  <c r="G8" i="37"/>
  <c r="V8" i="37"/>
  <c r="N8" i="37"/>
  <c r="M8" i="37"/>
  <c r="C8" i="37"/>
  <c r="E8" i="37" s="1"/>
  <c r="L8" i="37"/>
  <c r="K6" i="19"/>
  <c r="R6" i="19"/>
  <c r="O13" i="31"/>
  <c r="U6" i="19"/>
  <c r="AA6" i="19"/>
  <c r="P6" i="19"/>
  <c r="Q6" i="19" s="1"/>
  <c r="Q7" i="19" s="1"/>
  <c r="D6" i="11"/>
  <c r="W6" i="11"/>
  <c r="Z6" i="11"/>
  <c r="AC6" i="11"/>
  <c r="L13" i="31"/>
  <c r="M8" i="11"/>
  <c r="L8" i="11"/>
  <c r="F17" i="28" s="1"/>
  <c r="C8" i="11"/>
  <c r="J8" i="11"/>
  <c r="B8" i="11"/>
  <c r="A9" i="11"/>
  <c r="I8" i="11"/>
  <c r="AF8" i="11"/>
  <c r="F16" i="25" s="1"/>
  <c r="H8" i="11"/>
  <c r="V8" i="11"/>
  <c r="N8" i="11"/>
  <c r="G8" i="11"/>
  <c r="P8" i="11" s="1"/>
  <c r="Q8" i="11" s="1"/>
  <c r="AE8" i="11"/>
  <c r="O8" i="11"/>
  <c r="AA7" i="11"/>
  <c r="AB7" i="11" s="1"/>
  <c r="M6" i="33" s="1"/>
  <c r="G12" i="30"/>
  <c r="AF8" i="19"/>
  <c r="G16" i="25" s="1"/>
  <c r="H8" i="19"/>
  <c r="AE8" i="19"/>
  <c r="O8" i="19"/>
  <c r="G8" i="19"/>
  <c r="P8" i="19" s="1"/>
  <c r="Q8" i="19" s="1"/>
  <c r="V8" i="19"/>
  <c r="N8" i="19"/>
  <c r="M8" i="19"/>
  <c r="L8" i="19"/>
  <c r="G17" i="28" s="1"/>
  <c r="C8" i="19"/>
  <c r="E8" i="19" s="1"/>
  <c r="A9" i="19"/>
  <c r="I8" i="19"/>
  <c r="J8" i="19"/>
  <c r="B8" i="19"/>
  <c r="K6" i="37"/>
  <c r="Q13" i="31"/>
  <c r="AA6" i="37"/>
  <c r="P6" i="37"/>
  <c r="Q6" i="37" s="1"/>
  <c r="Q7" i="37" s="1"/>
  <c r="Q8" i="37" s="1"/>
  <c r="R6" i="37"/>
  <c r="D6" i="36"/>
  <c r="D7" i="36" s="1"/>
  <c r="D8" i="36" s="1"/>
  <c r="E6" i="36"/>
  <c r="F6" i="36" s="1"/>
  <c r="AC6" i="36"/>
  <c r="W6" i="36"/>
  <c r="E7" i="11"/>
  <c r="C15" i="25"/>
  <c r="C16" i="28"/>
  <c r="H6" i="33"/>
  <c r="C14" i="30"/>
  <c r="C14" i="31"/>
  <c r="K7" i="36"/>
  <c r="L16" i="28" s="1"/>
  <c r="C7" i="19"/>
  <c r="E7" i="19" s="1"/>
  <c r="S7" i="36"/>
  <c r="T7" i="36" s="1"/>
  <c r="U7" i="36" s="1"/>
  <c r="J14" i="30" s="1"/>
  <c r="C7" i="37"/>
  <c r="E7" i="37" s="1"/>
  <c r="E16" i="28"/>
  <c r="D16" i="28"/>
  <c r="J6" i="33"/>
  <c r="D15" i="25"/>
  <c r="D14" i="30"/>
  <c r="E14" i="31"/>
  <c r="D14" i="31"/>
  <c r="E15" i="25"/>
  <c r="I6" i="33"/>
  <c r="E14" i="30"/>
  <c r="R7" i="11"/>
  <c r="H14" i="31" s="1"/>
  <c r="E6" i="11"/>
  <c r="F6" i="11" s="1"/>
  <c r="F7" i="11" s="1"/>
  <c r="Z6" i="36"/>
  <c r="E7" i="36"/>
  <c r="G13" i="30" l="1"/>
  <c r="N14" i="31"/>
  <c r="M14" i="31"/>
  <c r="L14" i="31"/>
  <c r="Q14" i="31"/>
  <c r="O14" i="31"/>
  <c r="P14" i="31"/>
  <c r="I13" i="30"/>
  <c r="E17" i="28"/>
  <c r="E16" i="25"/>
  <c r="D17" i="28"/>
  <c r="D16" i="25"/>
  <c r="I7" i="33"/>
  <c r="E15" i="31"/>
  <c r="D15" i="31"/>
  <c r="J7" i="33"/>
  <c r="E15" i="30"/>
  <c r="D15" i="30"/>
  <c r="D6" i="37"/>
  <c r="D7" i="37" s="1"/>
  <c r="D8" i="37" s="1"/>
  <c r="W6" i="37"/>
  <c r="AC6" i="37"/>
  <c r="Z6" i="37"/>
  <c r="E6" i="37"/>
  <c r="F6" i="37" s="1"/>
  <c r="F7" i="37" s="1"/>
  <c r="AB6" i="19"/>
  <c r="N5" i="33" s="1"/>
  <c r="K8" i="11"/>
  <c r="J17" i="28" s="1"/>
  <c r="AB6" i="37"/>
  <c r="S8" i="11"/>
  <c r="T8" i="11" s="1"/>
  <c r="U8" i="11" s="1"/>
  <c r="H15" i="30" s="1"/>
  <c r="E8" i="36"/>
  <c r="K8" i="36"/>
  <c r="L17" i="28" s="1"/>
  <c r="H9" i="36"/>
  <c r="AE9" i="36"/>
  <c r="AF9" i="36" s="1"/>
  <c r="O9" i="36"/>
  <c r="G9" i="36"/>
  <c r="P9" i="36" s="1"/>
  <c r="Q9" i="36" s="1"/>
  <c r="V9" i="36"/>
  <c r="F9" i="36"/>
  <c r="M9" i="36"/>
  <c r="N9" i="36" s="1"/>
  <c r="L9" i="36"/>
  <c r="K9" i="36"/>
  <c r="L18" i="28" s="1"/>
  <c r="C9" i="36"/>
  <c r="D9" i="36" s="1"/>
  <c r="A10" i="36"/>
  <c r="I9" i="36"/>
  <c r="B9" i="36"/>
  <c r="E9" i="36" s="1"/>
  <c r="J9" i="36"/>
  <c r="H9" i="19"/>
  <c r="AE9" i="19"/>
  <c r="AF9" i="19" s="1"/>
  <c r="G17" i="25" s="1"/>
  <c r="O9" i="19"/>
  <c r="G9" i="19"/>
  <c r="P9" i="19" s="1"/>
  <c r="Q9" i="19" s="1"/>
  <c r="V9" i="19"/>
  <c r="M9" i="19"/>
  <c r="N9" i="19" s="1"/>
  <c r="E9" i="19"/>
  <c r="L9" i="19"/>
  <c r="G18" i="28" s="1"/>
  <c r="C9" i="19"/>
  <c r="A10" i="19"/>
  <c r="I9" i="19"/>
  <c r="J9" i="19"/>
  <c r="B9" i="19"/>
  <c r="M9" i="11"/>
  <c r="L9" i="11"/>
  <c r="F18" i="28" s="1"/>
  <c r="C9" i="11"/>
  <c r="J9" i="11"/>
  <c r="B9" i="11"/>
  <c r="A10" i="11"/>
  <c r="I9" i="11"/>
  <c r="K9" i="11" s="1"/>
  <c r="J18" i="28" s="1"/>
  <c r="H9" i="11"/>
  <c r="V9" i="11"/>
  <c r="N9" i="11"/>
  <c r="AE9" i="11"/>
  <c r="AF9" i="11" s="1"/>
  <c r="F17" i="25" s="1"/>
  <c r="O9" i="11"/>
  <c r="G9" i="11"/>
  <c r="P9" i="11" s="1"/>
  <c r="Q9" i="11" s="1"/>
  <c r="AD6" i="11"/>
  <c r="K5" i="33" s="1"/>
  <c r="I13" i="31"/>
  <c r="S7" i="19"/>
  <c r="T7" i="19" s="1"/>
  <c r="AA7" i="19" s="1"/>
  <c r="M15" i="28"/>
  <c r="K7" i="37"/>
  <c r="E8" i="11"/>
  <c r="F8" i="11" s="1"/>
  <c r="H7" i="33"/>
  <c r="C17" i="28"/>
  <c r="C16" i="25"/>
  <c r="C15" i="30"/>
  <c r="C15" i="31"/>
  <c r="F13" i="30"/>
  <c r="K15" i="28"/>
  <c r="K7" i="19"/>
  <c r="AA7" i="36"/>
  <c r="X7" i="36"/>
  <c r="Y7" i="36" s="1"/>
  <c r="Z7" i="36" s="1"/>
  <c r="W7" i="36"/>
  <c r="R7" i="36"/>
  <c r="AD6" i="36"/>
  <c r="AC7" i="36"/>
  <c r="F13" i="31"/>
  <c r="X7" i="11"/>
  <c r="Y7" i="11" s="1"/>
  <c r="Z7" i="11" s="1"/>
  <c r="W7" i="11"/>
  <c r="J9" i="37"/>
  <c r="B9" i="37"/>
  <c r="A10" i="37"/>
  <c r="I9" i="37"/>
  <c r="AF9" i="37"/>
  <c r="P9" i="37"/>
  <c r="Q9" i="37" s="1"/>
  <c r="H9" i="37"/>
  <c r="AE9" i="37"/>
  <c r="O9" i="37"/>
  <c r="G9" i="37"/>
  <c r="V9" i="37"/>
  <c r="N9" i="37"/>
  <c r="M9" i="37"/>
  <c r="C9" i="37"/>
  <c r="E9" i="37" s="1"/>
  <c r="L9" i="37"/>
  <c r="K13" i="31"/>
  <c r="S7" i="37"/>
  <c r="T7" i="37" s="1"/>
  <c r="U7" i="37" s="1"/>
  <c r="R7" i="37"/>
  <c r="D6" i="19"/>
  <c r="AC6" i="19"/>
  <c r="M13" i="31"/>
  <c r="W6" i="19"/>
  <c r="E6" i="19"/>
  <c r="F6" i="19" s="1"/>
  <c r="F7" i="19" s="1"/>
  <c r="F8" i="19" s="1"/>
  <c r="F7" i="36"/>
  <c r="F8" i="36" s="1"/>
  <c r="H15" i="28"/>
  <c r="D7" i="11"/>
  <c r="F8" i="37"/>
  <c r="AB7" i="19" l="1"/>
  <c r="N6" i="33" s="1"/>
  <c r="F14" i="30"/>
  <c r="AB7" i="36"/>
  <c r="I15" i="28"/>
  <c r="D7" i="19"/>
  <c r="D9" i="37"/>
  <c r="J14" i="31"/>
  <c r="R8" i="36"/>
  <c r="S8" i="36"/>
  <c r="T8" i="36" s="1"/>
  <c r="U8" i="36" s="1"/>
  <c r="R7" i="19"/>
  <c r="U7" i="19"/>
  <c r="O15" i="31"/>
  <c r="N15" i="31"/>
  <c r="Q15" i="31"/>
  <c r="M15" i="31"/>
  <c r="L15" i="31"/>
  <c r="P15" i="31"/>
  <c r="H16" i="28"/>
  <c r="D8" i="11"/>
  <c r="AD6" i="37"/>
  <c r="AC7" i="37"/>
  <c r="AC7" i="11"/>
  <c r="F9" i="19"/>
  <c r="I8" i="33"/>
  <c r="E17" i="25"/>
  <c r="D17" i="25"/>
  <c r="E18" i="28"/>
  <c r="J8" i="33"/>
  <c r="D18" i="28"/>
  <c r="E16" i="31"/>
  <c r="D16" i="31"/>
  <c r="E16" i="30"/>
  <c r="D16" i="30"/>
  <c r="AA7" i="37"/>
  <c r="X7" i="37"/>
  <c r="Y7" i="37" s="1"/>
  <c r="W7" i="37"/>
  <c r="R8" i="11"/>
  <c r="K14" i="30"/>
  <c r="M10" i="11"/>
  <c r="N10" i="11" s="1"/>
  <c r="L10" i="11"/>
  <c r="F19" i="28" s="1"/>
  <c r="C10" i="11"/>
  <c r="J10" i="11"/>
  <c r="B10" i="11"/>
  <c r="A11" i="11"/>
  <c r="I10" i="11"/>
  <c r="H10" i="11"/>
  <c r="P10" i="11" s="1"/>
  <c r="Q10" i="11" s="1"/>
  <c r="V10" i="11"/>
  <c r="G10" i="11"/>
  <c r="K10" i="11" s="1"/>
  <c r="J19" i="28" s="1"/>
  <c r="AE10" i="11"/>
  <c r="AF10" i="11" s="1"/>
  <c r="F18" i="25" s="1"/>
  <c r="O10" i="11"/>
  <c r="AD6" i="19"/>
  <c r="L5" i="33" s="1"/>
  <c r="Z7" i="37"/>
  <c r="K16" i="28"/>
  <c r="K8" i="19"/>
  <c r="M16" i="28"/>
  <c r="K8" i="37"/>
  <c r="AA8" i="11"/>
  <c r="E9" i="11"/>
  <c r="F9" i="11" s="1"/>
  <c r="H8" i="33"/>
  <c r="C18" i="28"/>
  <c r="C17" i="25"/>
  <c r="C16" i="31"/>
  <c r="C16" i="30"/>
  <c r="K14" i="31"/>
  <c r="S8" i="37"/>
  <c r="T8" i="37" s="1"/>
  <c r="R8" i="37" s="1"/>
  <c r="A11" i="37"/>
  <c r="V10" i="37"/>
  <c r="J10" i="37"/>
  <c r="B10" i="37"/>
  <c r="I10" i="37"/>
  <c r="P10" i="37"/>
  <c r="Q10" i="37" s="1"/>
  <c r="H10" i="37"/>
  <c r="O10" i="37"/>
  <c r="G10" i="37"/>
  <c r="AE10" i="37"/>
  <c r="AF10" i="37" s="1"/>
  <c r="M10" i="37"/>
  <c r="N10" i="37" s="1"/>
  <c r="C10" i="37"/>
  <c r="E10" i="37" s="1"/>
  <c r="L10" i="37"/>
  <c r="D10" i="37"/>
  <c r="AD7" i="36"/>
  <c r="H10" i="19"/>
  <c r="AE10" i="19"/>
  <c r="AF10" i="19" s="1"/>
  <c r="G18" i="25" s="1"/>
  <c r="O10" i="19"/>
  <c r="G10" i="19"/>
  <c r="P10" i="19" s="1"/>
  <c r="Q10" i="19" s="1"/>
  <c r="V10" i="19"/>
  <c r="M10" i="19"/>
  <c r="N10" i="19" s="1"/>
  <c r="E10" i="19"/>
  <c r="L10" i="19"/>
  <c r="G19" i="28" s="1"/>
  <c r="C10" i="19"/>
  <c r="A11" i="19"/>
  <c r="I10" i="19"/>
  <c r="J10" i="19"/>
  <c r="B10" i="19"/>
  <c r="F14" i="31"/>
  <c r="W8" i="11"/>
  <c r="X8" i="11"/>
  <c r="Y8" i="11" s="1"/>
  <c r="Z8" i="11" s="1"/>
  <c r="G13" i="31"/>
  <c r="X7" i="19"/>
  <c r="Y7" i="19" s="1"/>
  <c r="Z7" i="19" s="1"/>
  <c r="F9" i="37"/>
  <c r="X8" i="36"/>
  <c r="Y8" i="36" s="1"/>
  <c r="Z8" i="36" s="1"/>
  <c r="W8" i="36"/>
  <c r="AF10" i="36"/>
  <c r="H10" i="36"/>
  <c r="AE10" i="36"/>
  <c r="O10" i="36"/>
  <c r="G10" i="36"/>
  <c r="P10" i="36" s="1"/>
  <c r="Q10" i="36" s="1"/>
  <c r="V10" i="36"/>
  <c r="M10" i="36"/>
  <c r="N10" i="36" s="1"/>
  <c r="L10" i="36"/>
  <c r="C10" i="36"/>
  <c r="D10" i="36" s="1"/>
  <c r="A11" i="36"/>
  <c r="I10" i="36"/>
  <c r="J10" i="36"/>
  <c r="B10" i="36"/>
  <c r="F15" i="30" l="1"/>
  <c r="F10" i="11"/>
  <c r="K15" i="31"/>
  <c r="R9" i="37"/>
  <c r="S9" i="37"/>
  <c r="T9" i="37" s="1"/>
  <c r="M11" i="11"/>
  <c r="L11" i="11"/>
  <c r="F20" i="28" s="1"/>
  <c r="C11" i="11"/>
  <c r="J11" i="11"/>
  <c r="B11" i="11"/>
  <c r="A12" i="11"/>
  <c r="I11" i="11"/>
  <c r="H11" i="11"/>
  <c r="V11" i="11"/>
  <c r="N11" i="11"/>
  <c r="AE11" i="11"/>
  <c r="AF11" i="11" s="1"/>
  <c r="F19" i="25" s="1"/>
  <c r="O11" i="11"/>
  <c r="G11" i="11"/>
  <c r="K11" i="11" s="1"/>
  <c r="J20" i="28" s="1"/>
  <c r="J15" i="31"/>
  <c r="S9" i="36"/>
  <c r="T9" i="36" s="1"/>
  <c r="U9" i="36" s="1"/>
  <c r="R9" i="36"/>
  <c r="E10" i="11"/>
  <c r="C18" i="25"/>
  <c r="H9" i="33"/>
  <c r="C19" i="28"/>
  <c r="C17" i="31"/>
  <c r="C17" i="30"/>
  <c r="AC8" i="36"/>
  <c r="AC7" i="19"/>
  <c r="U8" i="37"/>
  <c r="J15" i="30"/>
  <c r="AA8" i="36"/>
  <c r="AF11" i="19"/>
  <c r="G19" i="25" s="1"/>
  <c r="H11" i="19"/>
  <c r="AE11" i="19"/>
  <c r="O11" i="19"/>
  <c r="G11" i="19"/>
  <c r="P11" i="19" s="1"/>
  <c r="Q11" i="19" s="1"/>
  <c r="V11" i="19"/>
  <c r="M11" i="19"/>
  <c r="N11" i="19" s="1"/>
  <c r="L11" i="19"/>
  <c r="G20" i="28" s="1"/>
  <c r="C11" i="19"/>
  <c r="E11" i="19" s="1"/>
  <c r="A12" i="19"/>
  <c r="I11" i="19"/>
  <c r="J11" i="19"/>
  <c r="B11" i="19"/>
  <c r="H15" i="31"/>
  <c r="S9" i="11"/>
  <c r="T9" i="11" s="1"/>
  <c r="U9" i="11" s="1"/>
  <c r="AF11" i="36"/>
  <c r="H11" i="36"/>
  <c r="AE11" i="36"/>
  <c r="O11" i="36"/>
  <c r="G11" i="36"/>
  <c r="P11" i="36" s="1"/>
  <c r="Q11" i="36" s="1"/>
  <c r="V11" i="36"/>
  <c r="M11" i="36"/>
  <c r="N11" i="36" s="1"/>
  <c r="L11" i="36"/>
  <c r="D11" i="36"/>
  <c r="C11" i="36"/>
  <c r="A12" i="36"/>
  <c r="I11" i="36"/>
  <c r="B11" i="36"/>
  <c r="E11" i="36" s="1"/>
  <c r="J11" i="36"/>
  <c r="M17" i="28"/>
  <c r="K9" i="37"/>
  <c r="P16" i="31"/>
  <c r="O16" i="31"/>
  <c r="N16" i="31"/>
  <c r="M16" i="31"/>
  <c r="L16" i="31"/>
  <c r="Q16" i="31"/>
  <c r="AD7" i="11"/>
  <c r="K6" i="33" s="1"/>
  <c r="AC8" i="11"/>
  <c r="AB8" i="11"/>
  <c r="M7" i="33" s="1"/>
  <c r="AA9" i="11"/>
  <c r="F10" i="37"/>
  <c r="AD7" i="37"/>
  <c r="E10" i="36"/>
  <c r="F10" i="36" s="1"/>
  <c r="F11" i="36" s="1"/>
  <c r="G14" i="30"/>
  <c r="F10" i="19"/>
  <c r="D18" i="25"/>
  <c r="J9" i="33"/>
  <c r="I9" i="33"/>
  <c r="E19" i="28"/>
  <c r="D19" i="28"/>
  <c r="E18" i="25"/>
  <c r="E17" i="30"/>
  <c r="E17" i="31"/>
  <c r="D17" i="30"/>
  <c r="D17" i="31"/>
  <c r="K17" i="28"/>
  <c r="K9" i="19"/>
  <c r="W8" i="37"/>
  <c r="X8" i="37"/>
  <c r="Y8" i="37" s="1"/>
  <c r="AC8" i="37" s="1"/>
  <c r="F15" i="31"/>
  <c r="X9" i="11"/>
  <c r="Y9" i="11" s="1"/>
  <c r="Z9" i="11" s="1"/>
  <c r="W9" i="11"/>
  <c r="X9" i="36"/>
  <c r="Y9" i="36" s="1"/>
  <c r="Z9" i="36" s="1"/>
  <c r="W9" i="36"/>
  <c r="W7" i="19"/>
  <c r="H17" i="28"/>
  <c r="D9" i="11"/>
  <c r="I14" i="30"/>
  <c r="U8" i="19"/>
  <c r="I16" i="28"/>
  <c r="D8" i="19"/>
  <c r="M11" i="37"/>
  <c r="L11" i="37"/>
  <c r="D11" i="37"/>
  <c r="C11" i="37"/>
  <c r="E11" i="37" s="1"/>
  <c r="J11" i="37"/>
  <c r="B11" i="37"/>
  <c r="A12" i="37"/>
  <c r="I11" i="37"/>
  <c r="H11" i="37"/>
  <c r="P11" i="37" s="1"/>
  <c r="Q11" i="37" s="1"/>
  <c r="V11" i="37"/>
  <c r="N11" i="37"/>
  <c r="O11" i="37"/>
  <c r="G11" i="37"/>
  <c r="AE11" i="37"/>
  <c r="AF11" i="37" s="1"/>
  <c r="K10" i="36"/>
  <c r="L19" i="28" s="1"/>
  <c r="Z8" i="37"/>
  <c r="AB7" i="37"/>
  <c r="AA8" i="37"/>
  <c r="I14" i="31"/>
  <c r="S8" i="19"/>
  <c r="T8" i="19" s="1"/>
  <c r="AA8" i="19" s="1"/>
  <c r="F16" i="30" l="1"/>
  <c r="AD8" i="37"/>
  <c r="AC9" i="37"/>
  <c r="J16" i="30"/>
  <c r="AB8" i="37"/>
  <c r="AA9" i="37"/>
  <c r="X10" i="36"/>
  <c r="Y10" i="36" s="1"/>
  <c r="Z10" i="36" s="1"/>
  <c r="M12" i="37"/>
  <c r="N12" i="37" s="1"/>
  <c r="E12" i="37"/>
  <c r="L12" i="37"/>
  <c r="D12" i="37"/>
  <c r="C12" i="37"/>
  <c r="J12" i="37"/>
  <c r="B12" i="37"/>
  <c r="A13" i="37"/>
  <c r="I12" i="37"/>
  <c r="H12" i="37"/>
  <c r="V12" i="37"/>
  <c r="AE12" i="37"/>
  <c r="AF12" i="37" s="1"/>
  <c r="O12" i="37"/>
  <c r="G12" i="37"/>
  <c r="P12" i="37" s="1"/>
  <c r="Q12" i="37" s="1"/>
  <c r="I17" i="28"/>
  <c r="D9" i="19"/>
  <c r="K18" i="28"/>
  <c r="K10" i="19"/>
  <c r="AD8" i="36"/>
  <c r="AC9" i="36"/>
  <c r="M12" i="11"/>
  <c r="N12" i="11" s="1"/>
  <c r="L12" i="11"/>
  <c r="F21" i="28" s="1"/>
  <c r="C12" i="11"/>
  <c r="J12" i="11"/>
  <c r="B12" i="11"/>
  <c r="A13" i="11"/>
  <c r="I12" i="11"/>
  <c r="K12" i="11" s="1"/>
  <c r="J21" i="28" s="1"/>
  <c r="P12" i="11"/>
  <c r="H12" i="11"/>
  <c r="V12" i="11"/>
  <c r="G12" i="11"/>
  <c r="AE12" i="11"/>
  <c r="AF12" i="11" s="1"/>
  <c r="F20" i="25" s="1"/>
  <c r="O12" i="11"/>
  <c r="F16" i="31"/>
  <c r="X10" i="11"/>
  <c r="Y10" i="11" s="1"/>
  <c r="Z10" i="11" s="1"/>
  <c r="H16" i="30"/>
  <c r="AB8" i="36"/>
  <c r="AA9" i="36"/>
  <c r="P11" i="11"/>
  <c r="Q11" i="11" s="1"/>
  <c r="Q12" i="11" s="1"/>
  <c r="E11" i="11"/>
  <c r="F11" i="11" s="1"/>
  <c r="C20" i="28"/>
  <c r="H10" i="33"/>
  <c r="C19" i="25"/>
  <c r="C18" i="30"/>
  <c r="C18" i="31"/>
  <c r="R8" i="19"/>
  <c r="H18" i="28"/>
  <c r="D10" i="11"/>
  <c r="Q17" i="31"/>
  <c r="P17" i="31"/>
  <c r="O17" i="31"/>
  <c r="N17" i="31"/>
  <c r="M17" i="31"/>
  <c r="L17" i="31"/>
  <c r="AD8" i="11"/>
  <c r="K7" i="33" s="1"/>
  <c r="AC9" i="11"/>
  <c r="M18" i="28"/>
  <c r="K10" i="37"/>
  <c r="H12" i="36"/>
  <c r="P12" i="36" s="1"/>
  <c r="Q12" i="36" s="1"/>
  <c r="AE12" i="36"/>
  <c r="AF12" i="36" s="1"/>
  <c r="O12" i="36"/>
  <c r="G12" i="36"/>
  <c r="V12" i="36"/>
  <c r="N12" i="36"/>
  <c r="M12" i="36"/>
  <c r="L12" i="36"/>
  <c r="C12" i="36"/>
  <c r="D12" i="36" s="1"/>
  <c r="A13" i="36"/>
  <c r="I12" i="36"/>
  <c r="J12" i="36"/>
  <c r="B12" i="36"/>
  <c r="R9" i="11"/>
  <c r="H12" i="19"/>
  <c r="AE12" i="19"/>
  <c r="AF12" i="19" s="1"/>
  <c r="G20" i="25" s="1"/>
  <c r="O12" i="19"/>
  <c r="G12" i="19"/>
  <c r="P12" i="19" s="1"/>
  <c r="Q12" i="19" s="1"/>
  <c r="V12" i="19"/>
  <c r="M12" i="19"/>
  <c r="N12" i="19" s="1"/>
  <c r="L12" i="19"/>
  <c r="G21" i="28" s="1"/>
  <c r="C12" i="19"/>
  <c r="E12" i="19" s="1"/>
  <c r="A13" i="19"/>
  <c r="I12" i="19"/>
  <c r="J12" i="19"/>
  <c r="B12" i="19"/>
  <c r="F11" i="37"/>
  <c r="K16" i="31"/>
  <c r="R10" i="37"/>
  <c r="S10" i="37"/>
  <c r="T10" i="37" s="1"/>
  <c r="I15" i="30"/>
  <c r="AB8" i="19"/>
  <c r="N7" i="33" s="1"/>
  <c r="G14" i="31"/>
  <c r="X8" i="19"/>
  <c r="Y8" i="19" s="1"/>
  <c r="Z8" i="19" s="1"/>
  <c r="K11" i="36"/>
  <c r="L20" i="28" s="1"/>
  <c r="F11" i="19"/>
  <c r="D20" i="28"/>
  <c r="J10" i="33"/>
  <c r="E19" i="25"/>
  <c r="I10" i="33"/>
  <c r="D19" i="25"/>
  <c r="E20" i="28"/>
  <c r="D18" i="31"/>
  <c r="E18" i="30"/>
  <c r="D18" i="30"/>
  <c r="E18" i="31"/>
  <c r="K15" i="30"/>
  <c r="U9" i="37"/>
  <c r="AB9" i="11"/>
  <c r="M8" i="33" s="1"/>
  <c r="X9" i="37"/>
  <c r="Y9" i="37" s="1"/>
  <c r="Z9" i="37" s="1"/>
  <c r="W9" i="37"/>
  <c r="AD7" i="19"/>
  <c r="L6" i="33" s="1"/>
  <c r="J16" i="31"/>
  <c r="R10" i="36"/>
  <c r="S10" i="36"/>
  <c r="T10" i="36" s="1"/>
  <c r="U10" i="36" s="1"/>
  <c r="J17" i="30" l="1"/>
  <c r="F17" i="30"/>
  <c r="J17" i="31"/>
  <c r="S11" i="36"/>
  <c r="T11" i="36" s="1"/>
  <c r="U11" i="36" s="1"/>
  <c r="R11" i="36"/>
  <c r="W8" i="19"/>
  <c r="P13" i="19"/>
  <c r="Q13" i="19" s="1"/>
  <c r="H13" i="19"/>
  <c r="AE13" i="19"/>
  <c r="AF13" i="19" s="1"/>
  <c r="G21" i="25" s="1"/>
  <c r="O13" i="19"/>
  <c r="G13" i="19"/>
  <c r="V13" i="19"/>
  <c r="N13" i="19"/>
  <c r="M13" i="19"/>
  <c r="E13" i="19"/>
  <c r="L13" i="19"/>
  <c r="G22" i="28" s="1"/>
  <c r="C13" i="19"/>
  <c r="A14" i="19"/>
  <c r="I13" i="19"/>
  <c r="J13" i="19"/>
  <c r="B13" i="19"/>
  <c r="E12" i="36"/>
  <c r="F12" i="36" s="1"/>
  <c r="K12" i="36"/>
  <c r="L21" i="28" s="1"/>
  <c r="I15" i="31"/>
  <c r="S9" i="19"/>
  <c r="T9" i="19" s="1"/>
  <c r="R9" i="19" s="1"/>
  <c r="AB9" i="36"/>
  <c r="AA10" i="36"/>
  <c r="K19" i="28"/>
  <c r="K11" i="19"/>
  <c r="K16" i="30"/>
  <c r="U10" i="37"/>
  <c r="M13" i="37"/>
  <c r="E13" i="37"/>
  <c r="L13" i="37"/>
  <c r="D13" i="37"/>
  <c r="C13" i="37"/>
  <c r="J13" i="37"/>
  <c r="B13" i="37"/>
  <c r="A14" i="37"/>
  <c r="I13" i="37"/>
  <c r="H13" i="37"/>
  <c r="V13" i="37"/>
  <c r="N13" i="37"/>
  <c r="O13" i="37"/>
  <c r="G13" i="37"/>
  <c r="P13" i="37" s="1"/>
  <c r="Q13" i="37" s="1"/>
  <c r="AE13" i="37"/>
  <c r="AF13" i="37" s="1"/>
  <c r="I18" i="28"/>
  <c r="D10" i="19"/>
  <c r="AD9" i="37"/>
  <c r="AC8" i="19"/>
  <c r="Q18" i="31"/>
  <c r="P18" i="31"/>
  <c r="O18" i="31"/>
  <c r="N18" i="31"/>
  <c r="M18" i="31"/>
  <c r="L18" i="31"/>
  <c r="AB9" i="37"/>
  <c r="AA10" i="37"/>
  <c r="F12" i="37"/>
  <c r="W10" i="36"/>
  <c r="F12" i="19"/>
  <c r="J11" i="33"/>
  <c r="I11" i="33"/>
  <c r="E21" i="28"/>
  <c r="E20" i="25"/>
  <c r="D21" i="28"/>
  <c r="D20" i="25"/>
  <c r="E19" i="30"/>
  <c r="D19" i="30"/>
  <c r="E19" i="31"/>
  <c r="D19" i="31"/>
  <c r="W10" i="11"/>
  <c r="M19" i="28"/>
  <c r="K11" i="37"/>
  <c r="AD9" i="36"/>
  <c r="AC10" i="36"/>
  <c r="X10" i="37"/>
  <c r="Y10" i="37" s="1"/>
  <c r="AC10" i="37" s="1"/>
  <c r="H13" i="36"/>
  <c r="AE13" i="36"/>
  <c r="AF13" i="36" s="1"/>
  <c r="O13" i="36"/>
  <c r="G13" i="36"/>
  <c r="P13" i="36" s="1"/>
  <c r="Q13" i="36" s="1"/>
  <c r="V13" i="36"/>
  <c r="M13" i="36"/>
  <c r="N13" i="36" s="1"/>
  <c r="L13" i="36"/>
  <c r="K13" i="36"/>
  <c r="L22" i="28" s="1"/>
  <c r="C13" i="36"/>
  <c r="D13" i="36" s="1"/>
  <c r="A14" i="36"/>
  <c r="I13" i="36"/>
  <c r="B13" i="36"/>
  <c r="J13" i="36"/>
  <c r="H19" i="28"/>
  <c r="D11" i="11"/>
  <c r="M13" i="11"/>
  <c r="L13" i="11"/>
  <c r="F22" i="28" s="1"/>
  <c r="C13" i="11"/>
  <c r="J13" i="11"/>
  <c r="B13" i="11"/>
  <c r="A14" i="11"/>
  <c r="I13" i="11"/>
  <c r="H13" i="11"/>
  <c r="V13" i="11"/>
  <c r="N13" i="11"/>
  <c r="AE13" i="11"/>
  <c r="AF13" i="11" s="1"/>
  <c r="F21" i="25" s="1"/>
  <c r="O13" i="11"/>
  <c r="G13" i="11"/>
  <c r="P13" i="11" s="1"/>
  <c r="Q13" i="11" s="1"/>
  <c r="G15" i="30"/>
  <c r="K17" i="31"/>
  <c r="S11" i="37"/>
  <c r="T11" i="37" s="1"/>
  <c r="R11" i="37" s="1"/>
  <c r="H16" i="31"/>
  <c r="S10" i="11"/>
  <c r="T10" i="11" s="1"/>
  <c r="AD9" i="11"/>
  <c r="K8" i="33" s="1"/>
  <c r="AC10" i="11"/>
  <c r="E12" i="11"/>
  <c r="F12" i="11" s="1"/>
  <c r="H11" i="33"/>
  <c r="C20" i="25"/>
  <c r="C19" i="31"/>
  <c r="C19" i="30"/>
  <c r="C21" i="28"/>
  <c r="K18" i="31" l="1"/>
  <c r="S12" i="37"/>
  <c r="T12" i="37" s="1"/>
  <c r="R12" i="37" s="1"/>
  <c r="AD10" i="37"/>
  <c r="J18" i="30"/>
  <c r="I16" i="31"/>
  <c r="S10" i="19"/>
  <c r="T10" i="19" s="1"/>
  <c r="R10" i="19"/>
  <c r="AA10" i="11"/>
  <c r="U10" i="11"/>
  <c r="AD10" i="11"/>
  <c r="K9" i="33" s="1"/>
  <c r="AC11" i="11"/>
  <c r="M14" i="11"/>
  <c r="L14" i="11"/>
  <c r="F23" i="28" s="1"/>
  <c r="C14" i="11"/>
  <c r="J14" i="11"/>
  <c r="B14" i="11"/>
  <c r="A15" i="11"/>
  <c r="I14" i="11"/>
  <c r="H14" i="11"/>
  <c r="P14" i="11" s="1"/>
  <c r="Q14" i="11" s="1"/>
  <c r="V14" i="11"/>
  <c r="N14" i="11"/>
  <c r="G14" i="11"/>
  <c r="AE14" i="11"/>
  <c r="AF14" i="11" s="1"/>
  <c r="F22" i="25" s="1"/>
  <c r="O14" i="11"/>
  <c r="AF14" i="36"/>
  <c r="P14" i="36"/>
  <c r="Q14" i="36" s="1"/>
  <c r="H14" i="36"/>
  <c r="AE14" i="36"/>
  <c r="O14" i="36"/>
  <c r="G14" i="36"/>
  <c r="K14" i="36" s="1"/>
  <c r="L23" i="28" s="1"/>
  <c r="V14" i="36"/>
  <c r="N14" i="36"/>
  <c r="M14" i="36"/>
  <c r="L14" i="36"/>
  <c r="D14" i="36"/>
  <c r="C14" i="36"/>
  <c r="A15" i="36"/>
  <c r="I14" i="36"/>
  <c r="J14" i="36"/>
  <c r="B14" i="36"/>
  <c r="E14" i="36" s="1"/>
  <c r="E13" i="11"/>
  <c r="F13" i="11" s="1"/>
  <c r="C21" i="25"/>
  <c r="C22" i="28"/>
  <c r="H12" i="33"/>
  <c r="C20" i="31"/>
  <c r="C20" i="30"/>
  <c r="AB10" i="37"/>
  <c r="AA11" i="37"/>
  <c r="AD8" i="19"/>
  <c r="L7" i="33" s="1"/>
  <c r="Z10" i="37"/>
  <c r="AD10" i="36"/>
  <c r="AC11" i="36"/>
  <c r="M14" i="37"/>
  <c r="E14" i="37"/>
  <c r="L14" i="37"/>
  <c r="D14" i="37"/>
  <c r="C14" i="37"/>
  <c r="J14" i="37"/>
  <c r="B14" i="37"/>
  <c r="F14" i="37" s="1"/>
  <c r="A15" i="37"/>
  <c r="I14" i="37"/>
  <c r="AF14" i="37"/>
  <c r="H14" i="37"/>
  <c r="V14" i="37"/>
  <c r="N14" i="37"/>
  <c r="AE14" i="37"/>
  <c r="O14" i="37"/>
  <c r="G14" i="37"/>
  <c r="P14" i="37" s="1"/>
  <c r="Q14" i="37" s="1"/>
  <c r="K17" i="30"/>
  <c r="U11" i="37"/>
  <c r="W10" i="37"/>
  <c r="E13" i="36"/>
  <c r="F13" i="36" s="1"/>
  <c r="F14" i="36" s="1"/>
  <c r="M19" i="31"/>
  <c r="Q19" i="31"/>
  <c r="P19" i="31"/>
  <c r="O19" i="31"/>
  <c r="N19" i="31"/>
  <c r="L19" i="31"/>
  <c r="I19" i="28"/>
  <c r="D11" i="19"/>
  <c r="F13" i="37"/>
  <c r="G15" i="31"/>
  <c r="X9" i="19"/>
  <c r="Y9" i="19" s="1"/>
  <c r="Z9" i="19" s="1"/>
  <c r="W9" i="19"/>
  <c r="F17" i="31"/>
  <c r="X11" i="11"/>
  <c r="Y11" i="11" s="1"/>
  <c r="Z11" i="11" s="1"/>
  <c r="W11" i="11"/>
  <c r="U9" i="19"/>
  <c r="AA9" i="19"/>
  <c r="R10" i="11"/>
  <c r="K13" i="11"/>
  <c r="J22" i="28" s="1"/>
  <c r="K20" i="28"/>
  <c r="K12" i="19"/>
  <c r="AF14" i="19"/>
  <c r="G22" i="25" s="1"/>
  <c r="H14" i="19"/>
  <c r="AE14" i="19"/>
  <c r="O14" i="19"/>
  <c r="G14" i="19"/>
  <c r="P14" i="19" s="1"/>
  <c r="Q14" i="19" s="1"/>
  <c r="V14" i="19"/>
  <c r="M14" i="19"/>
  <c r="N14" i="19" s="1"/>
  <c r="L14" i="19"/>
  <c r="G23" i="28" s="1"/>
  <c r="C14" i="19"/>
  <c r="E14" i="19" s="1"/>
  <c r="A15" i="19"/>
  <c r="I14" i="19"/>
  <c r="J14" i="19"/>
  <c r="B14" i="19"/>
  <c r="J18" i="31"/>
  <c r="S12" i="36"/>
  <c r="T12" i="36" s="1"/>
  <c r="R12" i="36" s="1"/>
  <c r="H20" i="28"/>
  <c r="D12" i="11"/>
  <c r="X11" i="36"/>
  <c r="Y11" i="36" s="1"/>
  <c r="Z11" i="36" s="1"/>
  <c r="W11" i="36"/>
  <c r="M20" i="28"/>
  <c r="K12" i="37"/>
  <c r="AB10" i="36"/>
  <c r="AA11" i="36"/>
  <c r="F13" i="19"/>
  <c r="E21" i="25"/>
  <c r="D21" i="25"/>
  <c r="E22" i="28"/>
  <c r="D22" i="28"/>
  <c r="J12" i="33"/>
  <c r="I12" i="33"/>
  <c r="D20" i="31"/>
  <c r="E20" i="30"/>
  <c r="D20" i="30"/>
  <c r="E20" i="31"/>
  <c r="K19" i="31" l="1"/>
  <c r="S13" i="37"/>
  <c r="T13" i="37" s="1"/>
  <c r="R13" i="37" s="1"/>
  <c r="J19" i="31"/>
  <c r="S13" i="36"/>
  <c r="T13" i="36" s="1"/>
  <c r="R13" i="36" s="1"/>
  <c r="F14" i="11"/>
  <c r="AD11" i="11"/>
  <c r="K10" i="33" s="1"/>
  <c r="M15" i="37"/>
  <c r="L15" i="37"/>
  <c r="D15" i="37"/>
  <c r="C15" i="37"/>
  <c r="E15" i="37" s="1"/>
  <c r="J15" i="37"/>
  <c r="B15" i="37"/>
  <c r="A16" i="37"/>
  <c r="I15" i="37"/>
  <c r="H15" i="37"/>
  <c r="P15" i="37" s="1"/>
  <c r="Q15" i="37" s="1"/>
  <c r="V15" i="37"/>
  <c r="N15" i="37"/>
  <c r="O15" i="37"/>
  <c r="G15" i="37"/>
  <c r="AE15" i="37"/>
  <c r="AF15" i="37" s="1"/>
  <c r="F14" i="19"/>
  <c r="E22" i="25"/>
  <c r="D22" i="25"/>
  <c r="J13" i="33"/>
  <c r="I13" i="33"/>
  <c r="D23" i="28"/>
  <c r="E21" i="30"/>
  <c r="E21" i="31"/>
  <c r="D21" i="30"/>
  <c r="D21" i="31"/>
  <c r="E23" i="28"/>
  <c r="I16" i="30"/>
  <c r="U10" i="19"/>
  <c r="I20" i="28"/>
  <c r="D12" i="19"/>
  <c r="K14" i="11"/>
  <c r="J23" i="28" s="1"/>
  <c r="U12" i="36"/>
  <c r="AB11" i="36"/>
  <c r="AA12" i="36"/>
  <c r="F18" i="30"/>
  <c r="K21" i="28"/>
  <c r="K13" i="19"/>
  <c r="K18" i="30"/>
  <c r="U12" i="37"/>
  <c r="E14" i="11"/>
  <c r="C23" i="28"/>
  <c r="C22" i="25"/>
  <c r="C21" i="30"/>
  <c r="C21" i="31"/>
  <c r="H13" i="33"/>
  <c r="H17" i="30"/>
  <c r="U11" i="11"/>
  <c r="M15" i="11"/>
  <c r="N15" i="11" s="1"/>
  <c r="L15" i="11"/>
  <c r="F24" i="28" s="1"/>
  <c r="C15" i="11"/>
  <c r="J15" i="11"/>
  <c r="B15" i="11"/>
  <c r="A16" i="11"/>
  <c r="I15" i="11"/>
  <c r="P15" i="11"/>
  <c r="Q15" i="11" s="1"/>
  <c r="H15" i="11"/>
  <c r="V15" i="11"/>
  <c r="AE15" i="11"/>
  <c r="AF15" i="11" s="1"/>
  <c r="F23" i="25" s="1"/>
  <c r="O15" i="11"/>
  <c r="G15" i="11"/>
  <c r="M21" i="28"/>
  <c r="K13" i="37"/>
  <c r="H15" i="19"/>
  <c r="AE15" i="19"/>
  <c r="AF15" i="19" s="1"/>
  <c r="G23" i="25" s="1"/>
  <c r="O15" i="19"/>
  <c r="G15" i="19"/>
  <c r="P15" i="19" s="1"/>
  <c r="Q15" i="19" s="1"/>
  <c r="V15" i="19"/>
  <c r="M15" i="19"/>
  <c r="N15" i="19" s="1"/>
  <c r="L15" i="19"/>
  <c r="G24" i="28" s="1"/>
  <c r="C15" i="19"/>
  <c r="E15" i="19" s="1"/>
  <c r="A16" i="19"/>
  <c r="I15" i="19"/>
  <c r="J15" i="19"/>
  <c r="B15" i="19"/>
  <c r="G16" i="31"/>
  <c r="X10" i="19"/>
  <c r="Y10" i="19" s="1"/>
  <c r="W10" i="19"/>
  <c r="AB10" i="11"/>
  <c r="M9" i="33" s="1"/>
  <c r="H21" i="28"/>
  <c r="D13" i="11"/>
  <c r="AD11" i="36"/>
  <c r="G16" i="30"/>
  <c r="Z10" i="19"/>
  <c r="AC9" i="19"/>
  <c r="P15" i="36"/>
  <c r="Q15" i="36" s="1"/>
  <c r="H15" i="36"/>
  <c r="K15" i="36" s="1"/>
  <c r="L24" i="28" s="1"/>
  <c r="AE15" i="36"/>
  <c r="AF15" i="36" s="1"/>
  <c r="O15" i="36"/>
  <c r="G15" i="36"/>
  <c r="V15" i="36"/>
  <c r="N15" i="36"/>
  <c r="M15" i="36"/>
  <c r="L15" i="36"/>
  <c r="D15" i="36"/>
  <c r="C15" i="36"/>
  <c r="A16" i="36"/>
  <c r="I15" i="36"/>
  <c r="B15" i="36"/>
  <c r="E15" i="36" s="1"/>
  <c r="F15" i="36" s="1"/>
  <c r="J15" i="36"/>
  <c r="I17" i="31"/>
  <c r="S11" i="19"/>
  <c r="T11" i="19" s="1"/>
  <c r="R11" i="19" s="1"/>
  <c r="X11" i="37"/>
  <c r="Y11" i="37" s="1"/>
  <c r="AC11" i="37" s="1"/>
  <c r="W12" i="36"/>
  <c r="X12" i="36"/>
  <c r="Y12" i="36" s="1"/>
  <c r="AC12" i="36" s="1"/>
  <c r="H17" i="31"/>
  <c r="S11" i="11"/>
  <c r="T11" i="11" s="1"/>
  <c r="AA11" i="11" s="1"/>
  <c r="R11" i="11"/>
  <c r="F18" i="31"/>
  <c r="X12" i="11"/>
  <c r="Y12" i="11" s="1"/>
  <c r="AC12" i="11" s="1"/>
  <c r="W12" i="11"/>
  <c r="L20" i="31"/>
  <c r="N20" i="31"/>
  <c r="Q20" i="31"/>
  <c r="P20" i="31"/>
  <c r="O20" i="31"/>
  <c r="M20" i="31"/>
  <c r="AB9" i="19"/>
  <c r="N8" i="33" s="1"/>
  <c r="AA10" i="19"/>
  <c r="AB11" i="37"/>
  <c r="AA12" i="37"/>
  <c r="I18" i="31" l="1"/>
  <c r="S12" i="19"/>
  <c r="T12" i="19" s="1"/>
  <c r="R12" i="19"/>
  <c r="J20" i="31"/>
  <c r="S14" i="36"/>
  <c r="T14" i="36" s="1"/>
  <c r="R14" i="36"/>
  <c r="AB11" i="11"/>
  <c r="M10" i="33" s="1"/>
  <c r="AD12" i="36"/>
  <c r="K20" i="31"/>
  <c r="S14" i="37"/>
  <c r="T14" i="37" s="1"/>
  <c r="R14" i="37" s="1"/>
  <c r="AD12" i="11"/>
  <c r="K11" i="33" s="1"/>
  <c r="F15" i="19"/>
  <c r="E24" i="28"/>
  <c r="D24" i="28"/>
  <c r="J14" i="33"/>
  <c r="D23" i="25"/>
  <c r="D22" i="30"/>
  <c r="E22" i="31"/>
  <c r="D22" i="31"/>
  <c r="I14" i="33"/>
  <c r="E23" i="25"/>
  <c r="E22" i="30"/>
  <c r="F15" i="37"/>
  <c r="AB12" i="37"/>
  <c r="AA13" i="37"/>
  <c r="W11" i="37"/>
  <c r="K22" i="28"/>
  <c r="K14" i="19"/>
  <c r="I21" i="28"/>
  <c r="D13" i="19"/>
  <c r="K19" i="30"/>
  <c r="U13" i="37"/>
  <c r="F19" i="31"/>
  <c r="X13" i="11"/>
  <c r="Y13" i="11" s="1"/>
  <c r="AC13" i="11" s="1"/>
  <c r="M21" i="31"/>
  <c r="L21" i="31"/>
  <c r="O21" i="31"/>
  <c r="Q21" i="31"/>
  <c r="P21" i="31"/>
  <c r="N21" i="31"/>
  <c r="AD9" i="19"/>
  <c r="L8" i="33" s="1"/>
  <c r="AC10" i="19"/>
  <c r="K15" i="11"/>
  <c r="J24" i="28" s="1"/>
  <c r="X13" i="36"/>
  <c r="Y13" i="36" s="1"/>
  <c r="AC13" i="36" s="1"/>
  <c r="H22" i="28"/>
  <c r="D14" i="11"/>
  <c r="J19" i="30"/>
  <c r="U13" i="36"/>
  <c r="H18" i="31"/>
  <c r="S12" i="11"/>
  <c r="T12" i="11" s="1"/>
  <c r="AA12" i="11" s="1"/>
  <c r="G17" i="30"/>
  <c r="Z12" i="11"/>
  <c r="I17" i="30"/>
  <c r="U11" i="19"/>
  <c r="H18" i="30"/>
  <c r="Z11" i="37"/>
  <c r="G17" i="31"/>
  <c r="X11" i="19"/>
  <c r="Y11" i="19" s="1"/>
  <c r="Z11" i="19" s="1"/>
  <c r="M22" i="28"/>
  <c r="K14" i="37"/>
  <c r="M16" i="11"/>
  <c r="N16" i="11" s="1"/>
  <c r="L16" i="11"/>
  <c r="F25" i="28" s="1"/>
  <c r="C16" i="11"/>
  <c r="J16" i="11"/>
  <c r="B16" i="11"/>
  <c r="A17" i="11"/>
  <c r="I16" i="11"/>
  <c r="H16" i="11"/>
  <c r="P16" i="11" s="1"/>
  <c r="Q16" i="11" s="1"/>
  <c r="V16" i="11"/>
  <c r="G16" i="11"/>
  <c r="K16" i="11" s="1"/>
  <c r="J25" i="28" s="1"/>
  <c r="AE16" i="11"/>
  <c r="AF16" i="11" s="1"/>
  <c r="F24" i="25" s="1"/>
  <c r="O16" i="11"/>
  <c r="AD11" i="37"/>
  <c r="AB10" i="19"/>
  <c r="N9" i="33" s="1"/>
  <c r="AA11" i="19"/>
  <c r="H16" i="36"/>
  <c r="P16" i="36" s="1"/>
  <c r="Q16" i="36" s="1"/>
  <c r="AE16" i="36"/>
  <c r="AF16" i="36" s="1"/>
  <c r="O16" i="36"/>
  <c r="G16" i="36"/>
  <c r="V16" i="36"/>
  <c r="N16" i="36"/>
  <c r="M16" i="36"/>
  <c r="L16" i="36"/>
  <c r="K16" i="36"/>
  <c r="L25" i="28" s="1"/>
  <c r="C16" i="36"/>
  <c r="D16" i="36" s="1"/>
  <c r="A17" i="36"/>
  <c r="I16" i="36"/>
  <c r="J16" i="36"/>
  <c r="B16" i="36"/>
  <c r="Z12" i="36"/>
  <c r="Z13" i="36" s="1"/>
  <c r="H16" i="19"/>
  <c r="AE16" i="19"/>
  <c r="AF16" i="19" s="1"/>
  <c r="G24" i="25" s="1"/>
  <c r="O16" i="19"/>
  <c r="G16" i="19"/>
  <c r="P16" i="19" s="1"/>
  <c r="Q16" i="19" s="1"/>
  <c r="V16" i="19"/>
  <c r="M16" i="19"/>
  <c r="N16" i="19" s="1"/>
  <c r="E16" i="19"/>
  <c r="L16" i="19"/>
  <c r="G25" i="28" s="1"/>
  <c r="C16" i="19"/>
  <c r="A17" i="19"/>
  <c r="I16" i="19"/>
  <c r="J16" i="19"/>
  <c r="B16" i="19"/>
  <c r="E15" i="11"/>
  <c r="F15" i="11" s="1"/>
  <c r="C23" i="25"/>
  <c r="C24" i="28"/>
  <c r="H14" i="33"/>
  <c r="C22" i="30"/>
  <c r="C22" i="31"/>
  <c r="AB12" i="36"/>
  <c r="AA13" i="36"/>
  <c r="M16" i="37"/>
  <c r="N16" i="37" s="1"/>
  <c r="L16" i="37"/>
  <c r="C16" i="37"/>
  <c r="E16" i="37" s="1"/>
  <c r="J16" i="37"/>
  <c r="B16" i="37"/>
  <c r="A17" i="37"/>
  <c r="I16" i="37"/>
  <c r="AF16" i="37"/>
  <c r="H16" i="37"/>
  <c r="V16" i="37"/>
  <c r="AE16" i="37"/>
  <c r="O16" i="37"/>
  <c r="G16" i="37"/>
  <c r="P16" i="37" s="1"/>
  <c r="Q16" i="37" s="1"/>
  <c r="AD13" i="36" l="1"/>
  <c r="G18" i="30"/>
  <c r="AB12" i="11"/>
  <c r="M11" i="33" s="1"/>
  <c r="K21" i="31"/>
  <c r="S15" i="37"/>
  <c r="T15" i="37" s="1"/>
  <c r="R15" i="37" s="1"/>
  <c r="AD13" i="11"/>
  <c r="K12" i="33" s="1"/>
  <c r="F16" i="37"/>
  <c r="D16" i="37"/>
  <c r="AF17" i="36"/>
  <c r="H17" i="36"/>
  <c r="AE17" i="36"/>
  <c r="O17" i="36"/>
  <c r="G17" i="36"/>
  <c r="P17" i="36" s="1"/>
  <c r="Q17" i="36" s="1"/>
  <c r="V17" i="36"/>
  <c r="M17" i="36"/>
  <c r="N17" i="36" s="1"/>
  <c r="L17" i="36"/>
  <c r="C17" i="36"/>
  <c r="D17" i="36" s="1"/>
  <c r="A18" i="36"/>
  <c r="I17" i="36"/>
  <c r="B17" i="36"/>
  <c r="J17" i="36"/>
  <c r="M23" i="28"/>
  <c r="K15" i="37"/>
  <c r="I18" i="30"/>
  <c r="U12" i="19"/>
  <c r="J20" i="30"/>
  <c r="U14" i="36"/>
  <c r="W13" i="11"/>
  <c r="W12" i="37"/>
  <c r="X12" i="37"/>
  <c r="Y12" i="37" s="1"/>
  <c r="AC12" i="37" s="1"/>
  <c r="E16" i="36"/>
  <c r="F16" i="36" s="1"/>
  <c r="E16" i="11"/>
  <c r="F16" i="11" s="1"/>
  <c r="H15" i="33"/>
  <c r="C25" i="28"/>
  <c r="C24" i="25"/>
  <c r="C23" i="30"/>
  <c r="C23" i="31"/>
  <c r="F19" i="30"/>
  <c r="Z13" i="11"/>
  <c r="H23" i="28"/>
  <c r="D15" i="11"/>
  <c r="AB13" i="37"/>
  <c r="AA14" i="37"/>
  <c r="W11" i="19"/>
  <c r="K20" i="30"/>
  <c r="U14" i="37"/>
  <c r="N22" i="31"/>
  <c r="M22" i="31"/>
  <c r="L22" i="31"/>
  <c r="P22" i="31"/>
  <c r="Q22" i="31"/>
  <c r="O22" i="31"/>
  <c r="H17" i="19"/>
  <c r="AE17" i="19"/>
  <c r="AF17" i="19" s="1"/>
  <c r="G25" i="25" s="1"/>
  <c r="O17" i="19"/>
  <c r="G17" i="19"/>
  <c r="P17" i="19" s="1"/>
  <c r="Q17" i="19" s="1"/>
  <c r="V17" i="19"/>
  <c r="M17" i="19"/>
  <c r="N17" i="19" s="1"/>
  <c r="L17" i="19"/>
  <c r="G26" i="28" s="1"/>
  <c r="C17" i="19"/>
  <c r="E17" i="19" s="1"/>
  <c r="A18" i="19"/>
  <c r="I17" i="19"/>
  <c r="J17" i="19"/>
  <c r="B17" i="19"/>
  <c r="M17" i="37"/>
  <c r="E17" i="37"/>
  <c r="L17" i="37"/>
  <c r="D17" i="37"/>
  <c r="C17" i="37"/>
  <c r="J17" i="37"/>
  <c r="B17" i="37"/>
  <c r="F17" i="37" s="1"/>
  <c r="A18" i="37"/>
  <c r="I17" i="37"/>
  <c r="H17" i="37"/>
  <c r="V17" i="37"/>
  <c r="N17" i="37"/>
  <c r="O17" i="37"/>
  <c r="G17" i="37"/>
  <c r="P17" i="37" s="1"/>
  <c r="Q17" i="37" s="1"/>
  <c r="AE17" i="37"/>
  <c r="AF17" i="37" s="1"/>
  <c r="AB13" i="36"/>
  <c r="AA14" i="36"/>
  <c r="W13" i="36"/>
  <c r="M17" i="11"/>
  <c r="N17" i="11" s="1"/>
  <c r="L17" i="11"/>
  <c r="F26" i="28" s="1"/>
  <c r="C17" i="11"/>
  <c r="J17" i="11"/>
  <c r="B17" i="11"/>
  <c r="A18" i="11"/>
  <c r="I17" i="11"/>
  <c r="P17" i="11"/>
  <c r="Q17" i="11" s="1"/>
  <c r="H17" i="11"/>
  <c r="V17" i="11"/>
  <c r="AE17" i="11"/>
  <c r="AF17" i="11" s="1"/>
  <c r="F25" i="25" s="1"/>
  <c r="O17" i="11"/>
  <c r="G17" i="11"/>
  <c r="K17" i="11" s="1"/>
  <c r="J26" i="28" s="1"/>
  <c r="Z12" i="37"/>
  <c r="I22" i="28"/>
  <c r="D14" i="19"/>
  <c r="I19" i="31"/>
  <c r="S13" i="19"/>
  <c r="T13" i="19" s="1"/>
  <c r="R13" i="19" s="1"/>
  <c r="F16" i="19"/>
  <c r="E25" i="28"/>
  <c r="E24" i="25"/>
  <c r="D25" i="28"/>
  <c r="D24" i="25"/>
  <c r="I15" i="33"/>
  <c r="E23" i="31"/>
  <c r="D23" i="31"/>
  <c r="J15" i="33"/>
  <c r="E23" i="30"/>
  <c r="D23" i="30"/>
  <c r="U12" i="11"/>
  <c r="R12" i="11"/>
  <c r="J21" i="31"/>
  <c r="S15" i="36"/>
  <c r="T15" i="36" s="1"/>
  <c r="R15" i="36" s="1"/>
  <c r="AB11" i="19"/>
  <c r="N10" i="33" s="1"/>
  <c r="AA12" i="19"/>
  <c r="AD10" i="19"/>
  <c r="L9" i="33" s="1"/>
  <c r="AC11" i="19"/>
  <c r="K23" i="28"/>
  <c r="K15" i="19"/>
  <c r="K22" i="31" l="1"/>
  <c r="S16" i="37"/>
  <c r="T16" i="37" s="1"/>
  <c r="R16" i="37" s="1"/>
  <c r="I20" i="31"/>
  <c r="S14" i="19"/>
  <c r="T14" i="19" s="1"/>
  <c r="R14" i="19" s="1"/>
  <c r="J22" i="31"/>
  <c r="S16" i="36"/>
  <c r="T16" i="36" s="1"/>
  <c r="R16" i="36" s="1"/>
  <c r="W14" i="36"/>
  <c r="X14" i="36"/>
  <c r="Y14" i="36" s="1"/>
  <c r="H24" i="28"/>
  <c r="D16" i="11"/>
  <c r="AB14" i="36"/>
  <c r="AA15" i="36"/>
  <c r="AB12" i="19"/>
  <c r="N11" i="33" s="1"/>
  <c r="AA13" i="19"/>
  <c r="I23" i="28"/>
  <c r="D15" i="19"/>
  <c r="E17" i="36"/>
  <c r="F17" i="36" s="1"/>
  <c r="O23" i="31"/>
  <c r="N23" i="31"/>
  <c r="M23" i="31"/>
  <c r="L23" i="31"/>
  <c r="Q23" i="31"/>
  <c r="P23" i="31"/>
  <c r="F20" i="30"/>
  <c r="Z14" i="11"/>
  <c r="M24" i="28"/>
  <c r="K16" i="37"/>
  <c r="P18" i="36"/>
  <c r="Q18" i="36" s="1"/>
  <c r="H18" i="36"/>
  <c r="AE18" i="36"/>
  <c r="AF18" i="36" s="1"/>
  <c r="O18" i="36"/>
  <c r="G18" i="36"/>
  <c r="V18" i="36"/>
  <c r="M18" i="36"/>
  <c r="N18" i="36" s="1"/>
  <c r="L18" i="36"/>
  <c r="C18" i="36"/>
  <c r="D18" i="36" s="1"/>
  <c r="A19" i="36"/>
  <c r="I18" i="36"/>
  <c r="J18" i="36"/>
  <c r="B18" i="36"/>
  <c r="F17" i="19"/>
  <c r="I16" i="33"/>
  <c r="E25" i="25"/>
  <c r="D25" i="25"/>
  <c r="E26" i="28"/>
  <c r="J16" i="33"/>
  <c r="D26" i="28"/>
  <c r="E24" i="31"/>
  <c r="D24" i="31"/>
  <c r="E24" i="30"/>
  <c r="D24" i="30"/>
  <c r="K24" i="28"/>
  <c r="K16" i="19"/>
  <c r="K21" i="30"/>
  <c r="U15" i="37"/>
  <c r="AD12" i="37"/>
  <c r="X13" i="37"/>
  <c r="Y13" i="37" s="1"/>
  <c r="Z13" i="37" s="1"/>
  <c r="K17" i="36"/>
  <c r="L26" i="28" s="1"/>
  <c r="AD11" i="19"/>
  <c r="L10" i="33" s="1"/>
  <c r="G18" i="31"/>
  <c r="X12" i="19"/>
  <c r="Y12" i="19" s="1"/>
  <c r="Z12" i="19" s="1"/>
  <c r="F20" i="31"/>
  <c r="X14" i="11"/>
  <c r="Y14" i="11" s="1"/>
  <c r="AC14" i="11" s="1"/>
  <c r="M18" i="11"/>
  <c r="L18" i="11"/>
  <c r="F27" i="28" s="1"/>
  <c r="C18" i="11"/>
  <c r="J18" i="11"/>
  <c r="B18" i="11"/>
  <c r="A19" i="11"/>
  <c r="I18" i="11"/>
  <c r="K18" i="11" s="1"/>
  <c r="J27" i="28" s="1"/>
  <c r="AF18" i="11"/>
  <c r="F26" i="25" s="1"/>
  <c r="H18" i="11"/>
  <c r="P18" i="11" s="1"/>
  <c r="Q18" i="11" s="1"/>
  <c r="V18" i="11"/>
  <c r="N18" i="11"/>
  <c r="G18" i="11"/>
  <c r="AE18" i="11"/>
  <c r="O18" i="11"/>
  <c r="M18" i="37"/>
  <c r="E18" i="37"/>
  <c r="L18" i="37"/>
  <c r="D18" i="37"/>
  <c r="C18" i="37"/>
  <c r="J18" i="37"/>
  <c r="B18" i="37"/>
  <c r="F18" i="37" s="1"/>
  <c r="A19" i="37"/>
  <c r="I18" i="37"/>
  <c r="H18" i="37"/>
  <c r="V18" i="37"/>
  <c r="N18" i="37"/>
  <c r="AE18" i="37"/>
  <c r="AF18" i="37" s="1"/>
  <c r="O18" i="37"/>
  <c r="G18" i="37"/>
  <c r="P18" i="37" s="1"/>
  <c r="Q18" i="37" s="1"/>
  <c r="I19" i="30"/>
  <c r="U13" i="19"/>
  <c r="E17" i="11"/>
  <c r="F17" i="11" s="1"/>
  <c r="H16" i="33"/>
  <c r="C26" i="28"/>
  <c r="C24" i="31"/>
  <c r="C25" i="25"/>
  <c r="C24" i="30"/>
  <c r="H19" i="31"/>
  <c r="S13" i="11"/>
  <c r="T13" i="11" s="1"/>
  <c r="AA13" i="11" s="1"/>
  <c r="R13" i="11"/>
  <c r="H19" i="30"/>
  <c r="P18" i="19"/>
  <c r="Q18" i="19" s="1"/>
  <c r="H18" i="19"/>
  <c r="AE18" i="19"/>
  <c r="AF18" i="19" s="1"/>
  <c r="G26" i="25" s="1"/>
  <c r="O18" i="19"/>
  <c r="G18" i="19"/>
  <c r="V18" i="19"/>
  <c r="M18" i="19"/>
  <c r="N18" i="19" s="1"/>
  <c r="L18" i="19"/>
  <c r="G27" i="28" s="1"/>
  <c r="C18" i="19"/>
  <c r="E18" i="19" s="1"/>
  <c r="A19" i="19"/>
  <c r="I18" i="19"/>
  <c r="J18" i="19"/>
  <c r="B18" i="19"/>
  <c r="AB14" i="37"/>
  <c r="AA15" i="37"/>
  <c r="J21" i="30"/>
  <c r="U15" i="36"/>
  <c r="J23" i="31" l="1"/>
  <c r="S17" i="36"/>
  <c r="T17" i="36" s="1"/>
  <c r="R17" i="36" s="1"/>
  <c r="I21" i="31"/>
  <c r="S15" i="19"/>
  <c r="T15" i="19" s="1"/>
  <c r="R15" i="19"/>
  <c r="K23" i="31"/>
  <c r="R17" i="37"/>
  <c r="S17" i="37"/>
  <c r="T17" i="37" s="1"/>
  <c r="F18" i="19"/>
  <c r="D26" i="25"/>
  <c r="J17" i="33"/>
  <c r="I17" i="33"/>
  <c r="E27" i="28"/>
  <c r="D27" i="28"/>
  <c r="E26" i="25"/>
  <c r="E25" i="30"/>
  <c r="E25" i="31"/>
  <c r="D25" i="30"/>
  <c r="D25" i="31"/>
  <c r="AB15" i="37"/>
  <c r="AA16" i="37"/>
  <c r="H19" i="19"/>
  <c r="AE19" i="19"/>
  <c r="AF19" i="19" s="1"/>
  <c r="G27" i="25" s="1"/>
  <c r="O19" i="19"/>
  <c r="G19" i="19"/>
  <c r="V19" i="19"/>
  <c r="M19" i="19"/>
  <c r="N19" i="19" s="1"/>
  <c r="L19" i="19"/>
  <c r="G28" i="28" s="1"/>
  <c r="C19" i="19"/>
  <c r="E19" i="19" s="1"/>
  <c r="A20" i="19"/>
  <c r="I19" i="19"/>
  <c r="P19" i="19" s="1"/>
  <c r="Q19" i="19" s="1"/>
  <c r="J19" i="19"/>
  <c r="B19" i="19"/>
  <c r="E18" i="11"/>
  <c r="F18" i="11" s="1"/>
  <c r="C26" i="25"/>
  <c r="H17" i="33"/>
  <c r="C27" i="28"/>
  <c r="C25" i="31"/>
  <c r="C25" i="30"/>
  <c r="W13" i="37"/>
  <c r="M25" i="28"/>
  <c r="K17" i="37"/>
  <c r="AF19" i="36"/>
  <c r="H19" i="36"/>
  <c r="AE19" i="36"/>
  <c r="O19" i="36"/>
  <c r="G19" i="36"/>
  <c r="P19" i="36" s="1"/>
  <c r="Q19" i="36" s="1"/>
  <c r="V19" i="36"/>
  <c r="M19" i="36"/>
  <c r="N19" i="36" s="1"/>
  <c r="L19" i="36"/>
  <c r="C19" i="36"/>
  <c r="D19" i="36" s="1"/>
  <c r="A20" i="36"/>
  <c r="I19" i="36"/>
  <c r="B19" i="36"/>
  <c r="E19" i="36" s="1"/>
  <c r="J19" i="36"/>
  <c r="AC13" i="37"/>
  <c r="P24" i="31"/>
  <c r="O24" i="31"/>
  <c r="N24" i="31"/>
  <c r="M24" i="31"/>
  <c r="L24" i="31"/>
  <c r="Q24" i="31"/>
  <c r="E18" i="36"/>
  <c r="F18" i="36" s="1"/>
  <c r="F19" i="36" s="1"/>
  <c r="K18" i="36"/>
  <c r="L27" i="28" s="1"/>
  <c r="I24" i="28"/>
  <c r="D16" i="19"/>
  <c r="AC14" i="36"/>
  <c r="Z14" i="36"/>
  <c r="M19" i="37"/>
  <c r="N19" i="37" s="1"/>
  <c r="L19" i="37"/>
  <c r="D19" i="37"/>
  <c r="C19" i="37"/>
  <c r="E19" i="37" s="1"/>
  <c r="J19" i="37"/>
  <c r="B19" i="37"/>
  <c r="A20" i="37"/>
  <c r="I19" i="37"/>
  <c r="H19" i="37"/>
  <c r="P19" i="37" s="1"/>
  <c r="Q19" i="37" s="1"/>
  <c r="V19" i="37"/>
  <c r="O19" i="37"/>
  <c r="G19" i="37"/>
  <c r="AE19" i="37"/>
  <c r="AF19" i="37" s="1"/>
  <c r="AC12" i="19"/>
  <c r="K22" i="30"/>
  <c r="U16" i="37"/>
  <c r="X15" i="36"/>
  <c r="Y15" i="36" s="1"/>
  <c r="W15" i="36" s="1"/>
  <c r="AB13" i="11"/>
  <c r="M12" i="33" s="1"/>
  <c r="AB13" i="19"/>
  <c r="N12" i="33" s="1"/>
  <c r="AA14" i="19"/>
  <c r="H25" i="28"/>
  <c r="D17" i="11"/>
  <c r="I20" i="30"/>
  <c r="U14" i="19"/>
  <c r="W12" i="19"/>
  <c r="J22" i="30"/>
  <c r="U16" i="36"/>
  <c r="W14" i="11"/>
  <c r="K25" i="28"/>
  <c r="K17" i="19"/>
  <c r="H20" i="31"/>
  <c r="R14" i="11"/>
  <c r="S14" i="11"/>
  <c r="T14" i="11" s="1"/>
  <c r="AA14" i="11" s="1"/>
  <c r="G19" i="30"/>
  <c r="F21" i="30"/>
  <c r="U13" i="11"/>
  <c r="M19" i="11"/>
  <c r="L19" i="11"/>
  <c r="F28" i="28" s="1"/>
  <c r="C19" i="11"/>
  <c r="J19" i="11"/>
  <c r="B19" i="11"/>
  <c r="A20" i="11"/>
  <c r="I19" i="11"/>
  <c r="H19" i="11"/>
  <c r="V19" i="11"/>
  <c r="N19" i="11"/>
  <c r="AE19" i="11"/>
  <c r="AF19" i="11" s="1"/>
  <c r="F27" i="25" s="1"/>
  <c r="O19" i="11"/>
  <c r="G19" i="11"/>
  <c r="K19" i="11" s="1"/>
  <c r="J28" i="28" s="1"/>
  <c r="AD14" i="11"/>
  <c r="K13" i="33" s="1"/>
  <c r="AB15" i="36"/>
  <c r="AA16" i="36"/>
  <c r="AB14" i="11" l="1"/>
  <c r="M13" i="33" s="1"/>
  <c r="X16" i="36"/>
  <c r="Y16" i="36" s="1"/>
  <c r="W16" i="36"/>
  <c r="J24" i="31"/>
  <c r="R18" i="36"/>
  <c r="S18" i="36"/>
  <c r="T18" i="36" s="1"/>
  <c r="F21" i="31"/>
  <c r="X15" i="11"/>
  <c r="Y15" i="11" s="1"/>
  <c r="W15" i="11"/>
  <c r="M20" i="11"/>
  <c r="N20" i="11" s="1"/>
  <c r="L20" i="11"/>
  <c r="F29" i="28" s="1"/>
  <c r="C20" i="11"/>
  <c r="J20" i="11"/>
  <c r="B20" i="11"/>
  <c r="A21" i="11"/>
  <c r="I20" i="11"/>
  <c r="K20" i="11" s="1"/>
  <c r="J29" i="28" s="1"/>
  <c r="P20" i="11"/>
  <c r="H20" i="11"/>
  <c r="V20" i="11"/>
  <c r="G20" i="11"/>
  <c r="AE20" i="11"/>
  <c r="AF20" i="11" s="1"/>
  <c r="F28" i="25" s="1"/>
  <c r="O20" i="11"/>
  <c r="F19" i="37"/>
  <c r="AD14" i="36"/>
  <c r="AC15" i="36"/>
  <c r="AF20" i="19"/>
  <c r="G28" i="25" s="1"/>
  <c r="H20" i="19"/>
  <c r="P20" i="19" s="1"/>
  <c r="Q20" i="19" s="1"/>
  <c r="AE20" i="19"/>
  <c r="O20" i="19"/>
  <c r="G20" i="19"/>
  <c r="V20" i="19"/>
  <c r="N20" i="19"/>
  <c r="M20" i="19"/>
  <c r="L20" i="19"/>
  <c r="G29" i="28" s="1"/>
  <c r="C20" i="19"/>
  <c r="E20" i="19" s="1"/>
  <c r="A21" i="19"/>
  <c r="I20" i="19"/>
  <c r="J20" i="19"/>
  <c r="B20" i="19"/>
  <c r="AB14" i="19"/>
  <c r="N13" i="33" s="1"/>
  <c r="AA15" i="19"/>
  <c r="H20" i="36"/>
  <c r="AE20" i="36"/>
  <c r="AF20" i="36" s="1"/>
  <c r="O20" i="36"/>
  <c r="G20" i="36"/>
  <c r="P20" i="36" s="1"/>
  <c r="Q20" i="36" s="1"/>
  <c r="V20" i="36"/>
  <c r="M20" i="36"/>
  <c r="N20" i="36" s="1"/>
  <c r="L20" i="36"/>
  <c r="K20" i="36"/>
  <c r="L29" i="28" s="1"/>
  <c r="C20" i="36"/>
  <c r="D20" i="36" s="1"/>
  <c r="A21" i="36"/>
  <c r="I20" i="36"/>
  <c r="J20" i="36"/>
  <c r="B20" i="36"/>
  <c r="E20" i="36" s="1"/>
  <c r="F20" i="36" s="1"/>
  <c r="F19" i="19"/>
  <c r="D28" i="28"/>
  <c r="J18" i="33"/>
  <c r="E27" i="25"/>
  <c r="I18" i="33"/>
  <c r="D27" i="25"/>
  <c r="E28" i="28"/>
  <c r="E26" i="30"/>
  <c r="D26" i="30"/>
  <c r="D26" i="31"/>
  <c r="E26" i="31"/>
  <c r="P19" i="11"/>
  <c r="Q19" i="11" s="1"/>
  <c r="Q20" i="11" s="1"/>
  <c r="AD13" i="37"/>
  <c r="X14" i="37"/>
  <c r="Y14" i="37" s="1"/>
  <c r="Z14" i="37" s="1"/>
  <c r="Q25" i="31"/>
  <c r="P25" i="31"/>
  <c r="O25" i="31"/>
  <c r="N25" i="31"/>
  <c r="M25" i="31"/>
  <c r="L25" i="31"/>
  <c r="M26" i="28"/>
  <c r="K18" i="37"/>
  <c r="G19" i="31"/>
  <c r="W13" i="19"/>
  <c r="X13" i="19"/>
  <c r="Y13" i="19" s="1"/>
  <c r="Z13" i="19" s="1"/>
  <c r="K19" i="36"/>
  <c r="L28" i="28" s="1"/>
  <c r="E19" i="11"/>
  <c r="F19" i="11" s="1"/>
  <c r="C28" i="28"/>
  <c r="H18" i="33"/>
  <c r="C27" i="25"/>
  <c r="C26" i="30"/>
  <c r="C26" i="31"/>
  <c r="I21" i="30"/>
  <c r="U15" i="19"/>
  <c r="H21" i="31"/>
  <c r="S15" i="11"/>
  <c r="T15" i="11" s="1"/>
  <c r="AA15" i="11" s="1"/>
  <c r="R15" i="11"/>
  <c r="AB16" i="36"/>
  <c r="AA17" i="36"/>
  <c r="AD12" i="19"/>
  <c r="L11" i="33" s="1"/>
  <c r="AC13" i="19"/>
  <c r="I25" i="28"/>
  <c r="D17" i="19"/>
  <c r="I22" i="31"/>
  <c r="S16" i="19"/>
  <c r="T16" i="19" s="1"/>
  <c r="R16" i="19" s="1"/>
  <c r="J23" i="30"/>
  <c r="U17" i="36"/>
  <c r="H20" i="30"/>
  <c r="U14" i="11"/>
  <c r="K26" i="28"/>
  <c r="K18" i="19"/>
  <c r="H26" i="28"/>
  <c r="D18" i="11"/>
  <c r="K23" i="30"/>
  <c r="U17" i="37"/>
  <c r="M20" i="37"/>
  <c r="N20" i="37" s="1"/>
  <c r="E20" i="37"/>
  <c r="L20" i="37"/>
  <c r="D20" i="37"/>
  <c r="C20" i="37"/>
  <c r="J20" i="37"/>
  <c r="B20" i="37"/>
  <c r="F20" i="37" s="1"/>
  <c r="A21" i="37"/>
  <c r="I20" i="37"/>
  <c r="AF20" i="37"/>
  <c r="H20" i="37"/>
  <c r="V20" i="37"/>
  <c r="AE20" i="37"/>
  <c r="O20" i="37"/>
  <c r="G20" i="37"/>
  <c r="P20" i="37" s="1"/>
  <c r="Q20" i="37" s="1"/>
  <c r="Z15" i="36"/>
  <c r="Z16" i="36" s="1"/>
  <c r="AB16" i="37"/>
  <c r="AA17" i="37"/>
  <c r="K24" i="31"/>
  <c r="S18" i="37"/>
  <c r="T18" i="37" s="1"/>
  <c r="R18" i="37" s="1"/>
  <c r="I23" i="31" l="1"/>
  <c r="S17" i="19"/>
  <c r="T17" i="19" s="1"/>
  <c r="R17" i="19" s="1"/>
  <c r="AB15" i="11"/>
  <c r="M14" i="33" s="1"/>
  <c r="K25" i="31"/>
  <c r="S19" i="37"/>
  <c r="T19" i="37" s="1"/>
  <c r="R19" i="37" s="1"/>
  <c r="J25" i="31"/>
  <c r="S19" i="36"/>
  <c r="T19" i="36" s="1"/>
  <c r="R19" i="36" s="1"/>
  <c r="AB17" i="36"/>
  <c r="AA18" i="36"/>
  <c r="K27" i="28"/>
  <c r="K19" i="19"/>
  <c r="AC14" i="37"/>
  <c r="H27" i="28"/>
  <c r="D19" i="11"/>
  <c r="X17" i="36"/>
  <c r="Y17" i="36" s="1"/>
  <c r="W17" i="36" s="1"/>
  <c r="H21" i="30"/>
  <c r="U15" i="11"/>
  <c r="I22" i="30"/>
  <c r="U16" i="19"/>
  <c r="AD15" i="36"/>
  <c r="AC16" i="36"/>
  <c r="F22" i="31"/>
  <c r="X16" i="11"/>
  <c r="Y16" i="11" s="1"/>
  <c r="W16" i="11"/>
  <c r="M27" i="28"/>
  <c r="K19" i="37"/>
  <c r="F20" i="19"/>
  <c r="J19" i="33"/>
  <c r="I19" i="33"/>
  <c r="E29" i="28"/>
  <c r="E28" i="25"/>
  <c r="D29" i="28"/>
  <c r="E27" i="30"/>
  <c r="E27" i="31"/>
  <c r="D27" i="30"/>
  <c r="D28" i="25"/>
  <c r="D27" i="31"/>
  <c r="I26" i="28"/>
  <c r="D18" i="19"/>
  <c r="AD13" i="19"/>
  <c r="L12" i="33" s="1"/>
  <c r="G20" i="30"/>
  <c r="Q26" i="31"/>
  <c r="L26" i="31"/>
  <c r="P26" i="31"/>
  <c r="O26" i="31"/>
  <c r="N26" i="31"/>
  <c r="M26" i="31"/>
  <c r="AB15" i="19"/>
  <c r="N14" i="33" s="1"/>
  <c r="AA16" i="19"/>
  <c r="H21" i="19"/>
  <c r="P21" i="19" s="1"/>
  <c r="Q21" i="19" s="1"/>
  <c r="AE21" i="19"/>
  <c r="AF21" i="19" s="1"/>
  <c r="G29" i="25" s="1"/>
  <c r="O21" i="19"/>
  <c r="G21" i="19"/>
  <c r="V21" i="19"/>
  <c r="N21" i="19"/>
  <c r="M21" i="19"/>
  <c r="L21" i="19"/>
  <c r="G30" i="28" s="1"/>
  <c r="C21" i="19"/>
  <c r="E21" i="19" s="1"/>
  <c r="A22" i="19"/>
  <c r="I21" i="19"/>
  <c r="J21" i="19"/>
  <c r="B21" i="19"/>
  <c r="M21" i="11"/>
  <c r="N21" i="11" s="1"/>
  <c r="L21" i="11"/>
  <c r="F30" i="28" s="1"/>
  <c r="C21" i="11"/>
  <c r="J21" i="11"/>
  <c r="B21" i="11"/>
  <c r="A22" i="11"/>
  <c r="I21" i="11"/>
  <c r="P21" i="11"/>
  <c r="Q21" i="11" s="1"/>
  <c r="H21" i="11"/>
  <c r="V21" i="11"/>
  <c r="AE21" i="11"/>
  <c r="AF21" i="11" s="1"/>
  <c r="F29" i="25" s="1"/>
  <c r="O21" i="11"/>
  <c r="G21" i="11"/>
  <c r="K21" i="11" s="1"/>
  <c r="J30" i="28" s="1"/>
  <c r="Z15" i="11"/>
  <c r="AC15" i="11"/>
  <c r="H22" i="31"/>
  <c r="R16" i="11"/>
  <c r="S16" i="11"/>
  <c r="T16" i="11" s="1"/>
  <c r="AA16" i="11" s="1"/>
  <c r="W14" i="37"/>
  <c r="AB17" i="37"/>
  <c r="AA18" i="37"/>
  <c r="M21" i="37"/>
  <c r="L21" i="37"/>
  <c r="D21" i="37"/>
  <c r="C21" i="37"/>
  <c r="E21" i="37" s="1"/>
  <c r="J21" i="37"/>
  <c r="B21" i="37"/>
  <c r="A22" i="37"/>
  <c r="I21" i="37"/>
  <c r="AF21" i="37"/>
  <c r="H21" i="37"/>
  <c r="V21" i="37"/>
  <c r="N21" i="37"/>
  <c r="O21" i="37"/>
  <c r="G21" i="37"/>
  <c r="P21" i="37" s="1"/>
  <c r="Q21" i="37" s="1"/>
  <c r="AE21" i="37"/>
  <c r="K24" i="30"/>
  <c r="U18" i="37"/>
  <c r="J24" i="30"/>
  <c r="U18" i="36"/>
  <c r="G20" i="31"/>
  <c r="X14" i="19"/>
  <c r="Y14" i="19" s="1"/>
  <c r="AC14" i="19" s="1"/>
  <c r="A22" i="36"/>
  <c r="I21" i="36"/>
  <c r="H21" i="36"/>
  <c r="AE21" i="36"/>
  <c r="AF21" i="36" s="1"/>
  <c r="O21" i="36"/>
  <c r="V21" i="36"/>
  <c r="N21" i="36"/>
  <c r="M21" i="36"/>
  <c r="L21" i="36"/>
  <c r="D21" i="36"/>
  <c r="J21" i="36"/>
  <c r="P21" i="36" s="1"/>
  <c r="Q21" i="36" s="1"/>
  <c r="G21" i="36"/>
  <c r="K21" i="36" s="1"/>
  <c r="L30" i="28" s="1"/>
  <c r="C21" i="36"/>
  <c r="B21" i="36"/>
  <c r="E21" i="36" s="1"/>
  <c r="F21" i="36" s="1"/>
  <c r="E20" i="11"/>
  <c r="F20" i="11" s="1"/>
  <c r="H19" i="33"/>
  <c r="C28" i="25"/>
  <c r="C27" i="31"/>
  <c r="C29" i="28"/>
  <c r="C27" i="30"/>
  <c r="X18" i="36" l="1"/>
  <c r="Y18" i="36" s="1"/>
  <c r="W18" i="36" s="1"/>
  <c r="AD14" i="19"/>
  <c r="L13" i="33" s="1"/>
  <c r="AB16" i="11"/>
  <c r="M15" i="33" s="1"/>
  <c r="AA17" i="11"/>
  <c r="J26" i="31"/>
  <c r="S20" i="36"/>
  <c r="T20" i="36" s="1"/>
  <c r="R20" i="36" s="1"/>
  <c r="K26" i="31"/>
  <c r="S20" i="37"/>
  <c r="T20" i="37" s="1"/>
  <c r="R20" i="37" s="1"/>
  <c r="I24" i="31"/>
  <c r="S18" i="19"/>
  <c r="T18" i="19" s="1"/>
  <c r="R18" i="19" s="1"/>
  <c r="F23" i="31"/>
  <c r="X17" i="11"/>
  <c r="Y17" i="11" s="1"/>
  <c r="W17" i="11"/>
  <c r="W14" i="19"/>
  <c r="F21" i="19"/>
  <c r="E29" i="25"/>
  <c r="D29" i="25"/>
  <c r="E30" i="28"/>
  <c r="D30" i="28"/>
  <c r="J20" i="33"/>
  <c r="I20" i="33"/>
  <c r="D28" i="31"/>
  <c r="E28" i="30"/>
  <c r="D28" i="30"/>
  <c r="E28" i="31"/>
  <c r="Z17" i="36"/>
  <c r="Z18" i="36" s="1"/>
  <c r="H22" i="30"/>
  <c r="U16" i="11"/>
  <c r="I27" i="28"/>
  <c r="D19" i="19"/>
  <c r="J25" i="30"/>
  <c r="U19" i="36"/>
  <c r="F22" i="30"/>
  <c r="Z16" i="11"/>
  <c r="M22" i="37"/>
  <c r="N22" i="37" s="1"/>
  <c r="E22" i="37"/>
  <c r="L22" i="37"/>
  <c r="D22" i="37"/>
  <c r="C22" i="37"/>
  <c r="J22" i="37"/>
  <c r="B22" i="37"/>
  <c r="F22" i="37" s="1"/>
  <c r="A23" i="37"/>
  <c r="I22" i="37"/>
  <c r="AF22" i="37"/>
  <c r="H22" i="37"/>
  <c r="V22" i="37"/>
  <c r="AE22" i="37"/>
  <c r="O22" i="37"/>
  <c r="G22" i="37"/>
  <c r="P22" i="37" s="1"/>
  <c r="Q22" i="37" s="1"/>
  <c r="AB18" i="37"/>
  <c r="AA19" i="37"/>
  <c r="E21" i="11"/>
  <c r="F21" i="11" s="1"/>
  <c r="C29" i="25"/>
  <c r="C30" i="28"/>
  <c r="H20" i="33"/>
  <c r="C28" i="31"/>
  <c r="C28" i="30"/>
  <c r="K25" i="30"/>
  <c r="U19" i="37"/>
  <c r="F21" i="37"/>
  <c r="AD16" i="36"/>
  <c r="AC17" i="36"/>
  <c r="H28" i="28"/>
  <c r="D20" i="11"/>
  <c r="AB16" i="19"/>
  <c r="N15" i="33" s="1"/>
  <c r="AA17" i="19"/>
  <c r="Z14" i="19"/>
  <c r="AB18" i="36"/>
  <c r="AA19" i="36"/>
  <c r="X15" i="37"/>
  <c r="Y15" i="37" s="1"/>
  <c r="Z15" i="37" s="1"/>
  <c r="A23" i="36"/>
  <c r="I22" i="36"/>
  <c r="AF22" i="36"/>
  <c r="H22" i="36"/>
  <c r="AE22" i="36"/>
  <c r="O22" i="36"/>
  <c r="G22" i="36"/>
  <c r="P22" i="36" s="1"/>
  <c r="Q22" i="36" s="1"/>
  <c r="V22" i="36"/>
  <c r="M22" i="36"/>
  <c r="N22" i="36" s="1"/>
  <c r="L22" i="36"/>
  <c r="J22" i="36"/>
  <c r="B22" i="36"/>
  <c r="C22" i="36"/>
  <c r="D22" i="36" s="1"/>
  <c r="H22" i="19"/>
  <c r="P22" i="19" s="1"/>
  <c r="Q22" i="19" s="1"/>
  <c r="AE22" i="19"/>
  <c r="AF22" i="19" s="1"/>
  <c r="G30" i="25" s="1"/>
  <c r="O22" i="19"/>
  <c r="G22" i="19"/>
  <c r="V22" i="19"/>
  <c r="M22" i="19"/>
  <c r="N22" i="19" s="1"/>
  <c r="E22" i="19"/>
  <c r="L22" i="19"/>
  <c r="G31" i="28" s="1"/>
  <c r="C22" i="19"/>
  <c r="A23" i="19"/>
  <c r="I22" i="19"/>
  <c r="J22" i="19"/>
  <c r="B22" i="19"/>
  <c r="Q27" i="31"/>
  <c r="P27" i="31"/>
  <c r="M27" i="31"/>
  <c r="O27" i="31"/>
  <c r="N27" i="31"/>
  <c r="L27" i="31"/>
  <c r="M28" i="28"/>
  <c r="K20" i="37"/>
  <c r="I23" i="30"/>
  <c r="U17" i="19"/>
  <c r="AD14" i="37"/>
  <c r="AC15" i="37"/>
  <c r="AD15" i="11"/>
  <c r="K14" i="33" s="1"/>
  <c r="AC16" i="11"/>
  <c r="M22" i="11"/>
  <c r="N22" i="11" s="1"/>
  <c r="L22" i="11"/>
  <c r="F31" i="28" s="1"/>
  <c r="C22" i="11"/>
  <c r="J22" i="11"/>
  <c r="B22" i="11"/>
  <c r="A23" i="11"/>
  <c r="I22" i="11"/>
  <c r="K22" i="11" s="1"/>
  <c r="J31" i="28" s="1"/>
  <c r="P22" i="11"/>
  <c r="Q22" i="11" s="1"/>
  <c r="H22" i="11"/>
  <c r="V22" i="11"/>
  <c r="G22" i="11"/>
  <c r="AE22" i="11"/>
  <c r="AF22" i="11" s="1"/>
  <c r="F30" i="25" s="1"/>
  <c r="O22" i="11"/>
  <c r="H23" i="31"/>
  <c r="S17" i="11"/>
  <c r="T17" i="11" s="1"/>
  <c r="R17" i="11" s="1"/>
  <c r="K28" i="28"/>
  <c r="K20" i="19"/>
  <c r="K27" i="31" l="1"/>
  <c r="S21" i="37"/>
  <c r="T21" i="37" s="1"/>
  <c r="R21" i="37" s="1"/>
  <c r="J27" i="31"/>
  <c r="S21" i="36"/>
  <c r="T21" i="36" s="1"/>
  <c r="R21" i="36"/>
  <c r="H24" i="31"/>
  <c r="S18" i="11"/>
  <c r="T18" i="11" s="1"/>
  <c r="R18" i="11" s="1"/>
  <c r="I25" i="31"/>
  <c r="S19" i="19"/>
  <c r="T19" i="19" s="1"/>
  <c r="R19" i="19" s="1"/>
  <c r="X19" i="36"/>
  <c r="Y19" i="36" s="1"/>
  <c r="Z19" i="36" s="1"/>
  <c r="W19" i="36"/>
  <c r="H23" i="19"/>
  <c r="AE23" i="19"/>
  <c r="AF23" i="19" s="1"/>
  <c r="G31" i="25" s="1"/>
  <c r="O23" i="19"/>
  <c r="G23" i="19"/>
  <c r="P23" i="19" s="1"/>
  <c r="Q23" i="19" s="1"/>
  <c r="V23" i="19"/>
  <c r="M23" i="19"/>
  <c r="N23" i="19" s="1"/>
  <c r="E23" i="19"/>
  <c r="L23" i="19"/>
  <c r="G32" i="28" s="1"/>
  <c r="C23" i="19"/>
  <c r="A24" i="19"/>
  <c r="I23" i="19"/>
  <c r="J23" i="19"/>
  <c r="B23" i="19"/>
  <c r="L28" i="31"/>
  <c r="Q28" i="31"/>
  <c r="P28" i="31"/>
  <c r="N28" i="31"/>
  <c r="O28" i="31"/>
  <c r="M28" i="31"/>
  <c r="AB17" i="19"/>
  <c r="N16" i="33" s="1"/>
  <c r="AA18" i="19"/>
  <c r="K22" i="36"/>
  <c r="L31" i="28" s="1"/>
  <c r="M23" i="37"/>
  <c r="L23" i="37"/>
  <c r="C23" i="37"/>
  <c r="E23" i="37" s="1"/>
  <c r="J23" i="37"/>
  <c r="B23" i="37"/>
  <c r="A24" i="37"/>
  <c r="I23" i="37"/>
  <c r="AF23" i="37"/>
  <c r="H23" i="37"/>
  <c r="V23" i="37"/>
  <c r="N23" i="37"/>
  <c r="O23" i="37"/>
  <c r="G23" i="37"/>
  <c r="P23" i="37" s="1"/>
  <c r="Q23" i="37" s="1"/>
  <c r="AE23" i="37"/>
  <c r="F23" i="30"/>
  <c r="Z17" i="11"/>
  <c r="K26" i="30"/>
  <c r="U20" i="37"/>
  <c r="AB17" i="11"/>
  <c r="M16" i="33" s="1"/>
  <c r="AA18" i="11"/>
  <c r="K29" i="28"/>
  <c r="K21" i="19"/>
  <c r="M29" i="28"/>
  <c r="K21" i="37"/>
  <c r="J26" i="30"/>
  <c r="U20" i="36"/>
  <c r="E22" i="36"/>
  <c r="F22" i="36" s="1"/>
  <c r="A24" i="36"/>
  <c r="I23" i="36"/>
  <c r="H23" i="36"/>
  <c r="P23" i="36" s="1"/>
  <c r="Q23" i="36" s="1"/>
  <c r="AE23" i="36"/>
  <c r="AF23" i="36" s="1"/>
  <c r="O23" i="36"/>
  <c r="G23" i="36"/>
  <c r="K23" i="36" s="1"/>
  <c r="L32" i="28" s="1"/>
  <c r="V23" i="36"/>
  <c r="N23" i="36"/>
  <c r="M23" i="36"/>
  <c r="L23" i="36"/>
  <c r="J23" i="36"/>
  <c r="B23" i="36"/>
  <c r="C23" i="36"/>
  <c r="D23" i="36" s="1"/>
  <c r="H29" i="28"/>
  <c r="D21" i="11"/>
  <c r="I28" i="28"/>
  <c r="D20" i="19"/>
  <c r="G21" i="31"/>
  <c r="X15" i="19"/>
  <c r="Y15" i="19" s="1"/>
  <c r="AC15" i="19" s="1"/>
  <c r="I24" i="30"/>
  <c r="U18" i="19"/>
  <c r="F22" i="19"/>
  <c r="E30" i="25"/>
  <c r="D30" i="25"/>
  <c r="J21" i="33"/>
  <c r="I21" i="33"/>
  <c r="D31" i="28"/>
  <c r="E29" i="30"/>
  <c r="E29" i="31"/>
  <c r="E31" i="28"/>
  <c r="D29" i="30"/>
  <c r="D29" i="31"/>
  <c r="F24" i="31"/>
  <c r="X18" i="11"/>
  <c r="Y18" i="11" s="1"/>
  <c r="W18" i="11"/>
  <c r="W15" i="37"/>
  <c r="AD17" i="36"/>
  <c r="AC18" i="36"/>
  <c r="H23" i="30"/>
  <c r="U17" i="11"/>
  <c r="G21" i="30"/>
  <c r="AB19" i="37"/>
  <c r="AA20" i="37"/>
  <c r="AD16" i="11"/>
  <c r="K15" i="33" s="1"/>
  <c r="AC17" i="11"/>
  <c r="M23" i="11"/>
  <c r="L23" i="11"/>
  <c r="F32" i="28" s="1"/>
  <c r="C23" i="11"/>
  <c r="J23" i="11"/>
  <c r="B23" i="11"/>
  <c r="A24" i="11"/>
  <c r="I23" i="11"/>
  <c r="K23" i="11" s="1"/>
  <c r="J32" i="28" s="1"/>
  <c r="H23" i="11"/>
  <c r="V23" i="11"/>
  <c r="N23" i="11"/>
  <c r="AE23" i="11"/>
  <c r="AF23" i="11" s="1"/>
  <c r="F31" i="25" s="1"/>
  <c r="O23" i="11"/>
  <c r="G23" i="11"/>
  <c r="P23" i="11" s="1"/>
  <c r="Q23" i="11" s="1"/>
  <c r="E22" i="11"/>
  <c r="F22" i="11" s="1"/>
  <c r="C31" i="28"/>
  <c r="C30" i="25"/>
  <c r="H21" i="33"/>
  <c r="C29" i="30"/>
  <c r="C29" i="31"/>
  <c r="AD15" i="37"/>
  <c r="AB19" i="36"/>
  <c r="AA20" i="36"/>
  <c r="H25" i="31" l="1"/>
  <c r="S19" i="11"/>
  <c r="T19" i="11" s="1"/>
  <c r="R19" i="11" s="1"/>
  <c r="K28" i="31"/>
  <c r="S22" i="37"/>
  <c r="T22" i="37" s="1"/>
  <c r="R22" i="37" s="1"/>
  <c r="I26" i="31"/>
  <c r="S20" i="19"/>
  <c r="T20" i="19" s="1"/>
  <c r="R20" i="19"/>
  <c r="AD17" i="11"/>
  <c r="K16" i="33" s="1"/>
  <c r="AC18" i="11"/>
  <c r="AD18" i="36"/>
  <c r="AC19" i="36"/>
  <c r="M24" i="11"/>
  <c r="L24" i="11"/>
  <c r="F33" i="28" s="1"/>
  <c r="C24" i="11"/>
  <c r="J24" i="11"/>
  <c r="B24" i="11"/>
  <c r="A25" i="11"/>
  <c r="Q24" i="11"/>
  <c r="I24" i="11"/>
  <c r="K24" i="11" s="1"/>
  <c r="J33" i="28" s="1"/>
  <c r="P24" i="11"/>
  <c r="H24" i="11"/>
  <c r="V24" i="11"/>
  <c r="N24" i="11"/>
  <c r="G24" i="11"/>
  <c r="AE24" i="11"/>
  <c r="AF24" i="11" s="1"/>
  <c r="F32" i="25" s="1"/>
  <c r="O24" i="11"/>
  <c r="J28" i="31"/>
  <c r="S22" i="36"/>
  <c r="T22" i="36" s="1"/>
  <c r="R22" i="36" s="1"/>
  <c r="F25" i="31"/>
  <c r="X19" i="11"/>
  <c r="Y19" i="11" s="1"/>
  <c r="W19" i="11" s="1"/>
  <c r="M30" i="28"/>
  <c r="K22" i="37"/>
  <c r="M24" i="37"/>
  <c r="N24" i="37" s="1"/>
  <c r="L24" i="37"/>
  <c r="C24" i="37"/>
  <c r="D24" i="37" s="1"/>
  <c r="J24" i="37"/>
  <c r="B24" i="37"/>
  <c r="A25" i="37"/>
  <c r="I24" i="37"/>
  <c r="AF24" i="37"/>
  <c r="H24" i="37"/>
  <c r="V24" i="37"/>
  <c r="AE24" i="37"/>
  <c r="O24" i="37"/>
  <c r="G24" i="37"/>
  <c r="P24" i="37" s="1"/>
  <c r="Q24" i="37" s="1"/>
  <c r="AB20" i="36"/>
  <c r="AA21" i="36"/>
  <c r="H30" i="28"/>
  <c r="D22" i="11"/>
  <c r="X20" i="36"/>
  <c r="Y20" i="36" s="1"/>
  <c r="Z20" i="36" s="1"/>
  <c r="W20" i="36"/>
  <c r="E23" i="11"/>
  <c r="F23" i="11" s="1"/>
  <c r="C31" i="25"/>
  <c r="C32" i="28"/>
  <c r="H22" i="33"/>
  <c r="C30" i="30"/>
  <c r="C30" i="31"/>
  <c r="M29" i="31"/>
  <c r="L29" i="31"/>
  <c r="O29" i="31"/>
  <c r="Q29" i="31"/>
  <c r="P29" i="31"/>
  <c r="N29" i="31"/>
  <c r="Z15" i="19"/>
  <c r="W15" i="19"/>
  <c r="F24" i="30"/>
  <c r="Z18" i="11"/>
  <c r="F23" i="37"/>
  <c r="D23" i="37"/>
  <c r="AB18" i="19"/>
  <c r="N17" i="33" s="1"/>
  <c r="AA19" i="19"/>
  <c r="F23" i="19"/>
  <c r="E32" i="28"/>
  <c r="D32" i="28"/>
  <c r="J22" i="33"/>
  <c r="D31" i="25"/>
  <c r="D30" i="30"/>
  <c r="E30" i="31"/>
  <c r="E31" i="25"/>
  <c r="D30" i="31"/>
  <c r="I22" i="33"/>
  <c r="E30" i="30"/>
  <c r="K27" i="30"/>
  <c r="U21" i="37"/>
  <c r="AD15" i="19"/>
  <c r="L14" i="33" s="1"/>
  <c r="K30" i="28"/>
  <c r="K22" i="19"/>
  <c r="AB20" i="37"/>
  <c r="AA21" i="37"/>
  <c r="W16" i="37"/>
  <c r="X16" i="37"/>
  <c r="Y16" i="37" s="1"/>
  <c r="H24" i="19"/>
  <c r="AE24" i="19"/>
  <c r="AF24" i="19" s="1"/>
  <c r="G32" i="25" s="1"/>
  <c r="O24" i="19"/>
  <c r="G24" i="19"/>
  <c r="P24" i="19" s="1"/>
  <c r="Q24" i="19" s="1"/>
  <c r="V24" i="19"/>
  <c r="M24" i="19"/>
  <c r="N24" i="19" s="1"/>
  <c r="E24" i="19"/>
  <c r="L24" i="19"/>
  <c r="G33" i="28" s="1"/>
  <c r="C24" i="19"/>
  <c r="A25" i="19"/>
  <c r="I24" i="19"/>
  <c r="J24" i="19"/>
  <c r="B24" i="19"/>
  <c r="H24" i="30"/>
  <c r="U18" i="11"/>
  <c r="J27" i="30"/>
  <c r="U21" i="36"/>
  <c r="I25" i="30"/>
  <c r="U19" i="19"/>
  <c r="I29" i="28"/>
  <c r="D21" i="19"/>
  <c r="E23" i="36"/>
  <c r="F23" i="36" s="1"/>
  <c r="F24" i="36" s="1"/>
  <c r="A25" i="36"/>
  <c r="I24" i="36"/>
  <c r="H24" i="36"/>
  <c r="AE24" i="36"/>
  <c r="AF24" i="36" s="1"/>
  <c r="O24" i="36"/>
  <c r="G24" i="36"/>
  <c r="V24" i="36"/>
  <c r="M24" i="36"/>
  <c r="N24" i="36" s="1"/>
  <c r="L24" i="36"/>
  <c r="D24" i="36"/>
  <c r="J24" i="36"/>
  <c r="K24" i="36" s="1"/>
  <c r="L33" i="28" s="1"/>
  <c r="B24" i="36"/>
  <c r="E24" i="36" s="1"/>
  <c r="C24" i="36"/>
  <c r="AB18" i="11"/>
  <c r="M17" i="33" s="1"/>
  <c r="AA19" i="11"/>
  <c r="J29" i="31" l="1"/>
  <c r="S23" i="36"/>
  <c r="T23" i="36" s="1"/>
  <c r="R23" i="36" s="1"/>
  <c r="K29" i="31"/>
  <c r="S23" i="37"/>
  <c r="T23" i="37" s="1"/>
  <c r="R23" i="37" s="1"/>
  <c r="H26" i="31"/>
  <c r="S20" i="11"/>
  <c r="T20" i="11" s="1"/>
  <c r="R20" i="11" s="1"/>
  <c r="F26" i="31"/>
  <c r="X20" i="11"/>
  <c r="Y20" i="11" s="1"/>
  <c r="W20" i="11"/>
  <c r="X21" i="36"/>
  <c r="Y21" i="36" s="1"/>
  <c r="Z21" i="36" s="1"/>
  <c r="Z16" i="37"/>
  <c r="AC16" i="37"/>
  <c r="K28" i="30"/>
  <c r="U22" i="37"/>
  <c r="E24" i="37"/>
  <c r="A26" i="36"/>
  <c r="I25" i="36"/>
  <c r="P25" i="36"/>
  <c r="H25" i="36"/>
  <c r="K25" i="36" s="1"/>
  <c r="L34" i="28" s="1"/>
  <c r="AE25" i="36"/>
  <c r="AF25" i="36" s="1"/>
  <c r="O25" i="36"/>
  <c r="G25" i="36"/>
  <c r="V25" i="36"/>
  <c r="M25" i="36"/>
  <c r="N25" i="36" s="1"/>
  <c r="L25" i="36"/>
  <c r="J25" i="36"/>
  <c r="B25" i="36"/>
  <c r="E25" i="36" s="1"/>
  <c r="F25" i="36" s="1"/>
  <c r="C25" i="36"/>
  <c r="D25" i="36" s="1"/>
  <c r="AB19" i="11"/>
  <c r="M18" i="33" s="1"/>
  <c r="AA20" i="11"/>
  <c r="I30" i="28"/>
  <c r="D22" i="19"/>
  <c r="G22" i="31"/>
  <c r="X16" i="19"/>
  <c r="Y16" i="19" s="1"/>
  <c r="AC16" i="19" s="1"/>
  <c r="H31" i="28"/>
  <c r="D23" i="11"/>
  <c r="E24" i="11"/>
  <c r="F24" i="11" s="1"/>
  <c r="H23" i="33"/>
  <c r="C33" i="28"/>
  <c r="C32" i="25"/>
  <c r="C31" i="30"/>
  <c r="C31" i="31"/>
  <c r="AD18" i="11"/>
  <c r="K17" i="33" s="1"/>
  <c r="AC19" i="11"/>
  <c r="H25" i="30"/>
  <c r="U19" i="11"/>
  <c r="F25" i="30"/>
  <c r="Z19" i="11"/>
  <c r="AD19" i="36"/>
  <c r="AC20" i="36"/>
  <c r="M25" i="11"/>
  <c r="N25" i="11" s="1"/>
  <c r="L25" i="11"/>
  <c r="F34" i="28" s="1"/>
  <c r="C25" i="11"/>
  <c r="J25" i="11"/>
  <c r="B25" i="11"/>
  <c r="A26" i="11"/>
  <c r="I25" i="11"/>
  <c r="H25" i="11"/>
  <c r="V25" i="11"/>
  <c r="AE25" i="11"/>
  <c r="AF25" i="11" s="1"/>
  <c r="F33" i="25" s="1"/>
  <c r="O25" i="11"/>
  <c r="G25" i="11"/>
  <c r="K25" i="11" s="1"/>
  <c r="J34" i="28" s="1"/>
  <c r="P24" i="36"/>
  <c r="Q24" i="36" s="1"/>
  <c r="Q25" i="36" s="1"/>
  <c r="K31" i="28"/>
  <c r="K23" i="19"/>
  <c r="G22" i="30"/>
  <c r="Z16" i="19"/>
  <c r="M25" i="37"/>
  <c r="N25" i="37" s="1"/>
  <c r="E25" i="37"/>
  <c r="L25" i="37"/>
  <c r="C25" i="37"/>
  <c r="D25" i="37" s="1"/>
  <c r="J25" i="37"/>
  <c r="B25" i="37"/>
  <c r="A26" i="37"/>
  <c r="I25" i="37"/>
  <c r="AF25" i="37"/>
  <c r="H25" i="37"/>
  <c r="V25" i="37"/>
  <c r="O25" i="37"/>
  <c r="G25" i="37"/>
  <c r="P25" i="37" s="1"/>
  <c r="Q25" i="37" s="1"/>
  <c r="AE25" i="37"/>
  <c r="M31" i="28"/>
  <c r="K23" i="37"/>
  <c r="W17" i="37"/>
  <c r="X17" i="37"/>
  <c r="Y17" i="37" s="1"/>
  <c r="AB21" i="37"/>
  <c r="AA22" i="37"/>
  <c r="I26" i="30"/>
  <c r="U20" i="19"/>
  <c r="AB19" i="19"/>
  <c r="N18" i="33" s="1"/>
  <c r="AA20" i="19"/>
  <c r="AB21" i="36"/>
  <c r="AA22" i="36"/>
  <c r="F24" i="37"/>
  <c r="I27" i="31"/>
  <c r="R21" i="19"/>
  <c r="S21" i="19"/>
  <c r="T21" i="19" s="1"/>
  <c r="H25" i="19"/>
  <c r="AE25" i="19"/>
  <c r="AF25" i="19" s="1"/>
  <c r="G33" i="25" s="1"/>
  <c r="O25" i="19"/>
  <c r="G25" i="19"/>
  <c r="V25" i="19"/>
  <c r="M25" i="19"/>
  <c r="N25" i="19" s="1"/>
  <c r="E25" i="19"/>
  <c r="L25" i="19"/>
  <c r="G34" i="28" s="1"/>
  <c r="C25" i="19"/>
  <c r="A26" i="19"/>
  <c r="I25" i="19"/>
  <c r="P25" i="19" s="1"/>
  <c r="Q25" i="19" s="1"/>
  <c r="J25" i="19"/>
  <c r="B25" i="19"/>
  <c r="N30" i="31"/>
  <c r="M30" i="31"/>
  <c r="L30" i="31"/>
  <c r="P30" i="31"/>
  <c r="Q30" i="31"/>
  <c r="O30" i="31"/>
  <c r="F24" i="19"/>
  <c r="E33" i="28"/>
  <c r="E32" i="25"/>
  <c r="D33" i="28"/>
  <c r="D32" i="25"/>
  <c r="I23" i="33"/>
  <c r="E31" i="31"/>
  <c r="D31" i="31"/>
  <c r="J23" i="33"/>
  <c r="E31" i="30"/>
  <c r="D31" i="30"/>
  <c r="J28" i="30"/>
  <c r="U22" i="36"/>
  <c r="H27" i="31" l="1"/>
  <c r="S21" i="11"/>
  <c r="T21" i="11" s="1"/>
  <c r="R21" i="11" s="1"/>
  <c r="K30" i="31"/>
  <c r="S24" i="37"/>
  <c r="T24" i="37" s="1"/>
  <c r="R24" i="37" s="1"/>
  <c r="J30" i="31"/>
  <c r="S24" i="36"/>
  <c r="T24" i="36" s="1"/>
  <c r="R24" i="36"/>
  <c r="J29" i="30"/>
  <c r="U23" i="36"/>
  <c r="I27" i="30"/>
  <c r="U21" i="19"/>
  <c r="AC26" i="11"/>
  <c r="U26" i="11"/>
  <c r="H33" i="30" s="1"/>
  <c r="M26" i="11"/>
  <c r="AB26" i="11"/>
  <c r="M25" i="33" s="1"/>
  <c r="L26" i="11"/>
  <c r="F35" i="28" s="1"/>
  <c r="D26" i="11"/>
  <c r="H35" i="28" s="1"/>
  <c r="AA26" i="11"/>
  <c r="S26" i="11"/>
  <c r="T26" i="11" s="1"/>
  <c r="K26" i="11"/>
  <c r="J35" i="28" s="1"/>
  <c r="C26" i="11"/>
  <c r="Z26" i="11"/>
  <c r="F33" i="30" s="1"/>
  <c r="R26" i="11"/>
  <c r="H33" i="31" s="1"/>
  <c r="J26" i="11"/>
  <c r="B26" i="11"/>
  <c r="A27" i="11"/>
  <c r="Q26" i="11"/>
  <c r="I26" i="11"/>
  <c r="AF26" i="11"/>
  <c r="F34" i="25" s="1"/>
  <c r="X26" i="11"/>
  <c r="Y26" i="11" s="1"/>
  <c r="P26" i="11"/>
  <c r="H26" i="11"/>
  <c r="AD26" i="11"/>
  <c r="K25" i="33" s="1"/>
  <c r="V26" i="11"/>
  <c r="N26" i="11"/>
  <c r="F26" i="11"/>
  <c r="G26" i="11"/>
  <c r="AE26" i="11"/>
  <c r="W26" i="11"/>
  <c r="F33" i="31" s="1"/>
  <c r="O26" i="11"/>
  <c r="AD16" i="19"/>
  <c r="L15" i="33" s="1"/>
  <c r="W21" i="36"/>
  <c r="E25" i="11"/>
  <c r="F25" i="11" s="1"/>
  <c r="H24" i="33"/>
  <c r="C34" i="28"/>
  <c r="C33" i="25"/>
  <c r="C32" i="31"/>
  <c r="C32" i="30"/>
  <c r="I28" i="31"/>
  <c r="S22" i="19"/>
  <c r="T22" i="19" s="1"/>
  <c r="R22" i="19" s="1"/>
  <c r="AB22" i="37"/>
  <c r="AA23" i="37"/>
  <c r="I31" i="28"/>
  <c r="D23" i="19"/>
  <c r="F25" i="19"/>
  <c r="I24" i="33"/>
  <c r="E33" i="25"/>
  <c r="D33" i="25"/>
  <c r="E34" i="28"/>
  <c r="J24" i="33"/>
  <c r="E32" i="31"/>
  <c r="D32" i="31"/>
  <c r="D34" i="28"/>
  <c r="E32" i="30"/>
  <c r="D32" i="30"/>
  <c r="P25" i="11"/>
  <c r="Q25" i="11" s="1"/>
  <c r="H26" i="30"/>
  <c r="U20" i="11"/>
  <c r="F27" i="31"/>
  <c r="X21" i="11"/>
  <c r="Y21" i="11" s="1"/>
  <c r="W21" i="11" s="1"/>
  <c r="AB22" i="36"/>
  <c r="AA23" i="36"/>
  <c r="AB20" i="11"/>
  <c r="M19" i="33" s="1"/>
  <c r="AA21" i="11"/>
  <c r="K29" i="30"/>
  <c r="U23" i="37"/>
  <c r="G23" i="30"/>
  <c r="AD19" i="11"/>
  <c r="K18" i="33" s="1"/>
  <c r="AC20" i="11"/>
  <c r="H32" i="28"/>
  <c r="D24" i="11"/>
  <c r="A27" i="36"/>
  <c r="Q26" i="36"/>
  <c r="I26" i="36"/>
  <c r="AF26" i="36"/>
  <c r="X26" i="36"/>
  <c r="Y26" i="36" s="1"/>
  <c r="P26" i="36"/>
  <c r="H26" i="36"/>
  <c r="AE26" i="36"/>
  <c r="W26" i="36"/>
  <c r="O26" i="36"/>
  <c r="G26" i="36"/>
  <c r="AD26" i="36"/>
  <c r="V26" i="36"/>
  <c r="N26" i="36"/>
  <c r="F26" i="36"/>
  <c r="AC26" i="36"/>
  <c r="U26" i="36"/>
  <c r="J33" i="30" s="1"/>
  <c r="M26" i="36"/>
  <c r="AB26" i="36"/>
  <c r="L26" i="36"/>
  <c r="D26" i="36"/>
  <c r="Z26" i="36"/>
  <c r="R26" i="36"/>
  <c r="J33" i="31" s="1"/>
  <c r="J26" i="36"/>
  <c r="B26" i="36"/>
  <c r="E26" i="36" s="1"/>
  <c r="AA26" i="36"/>
  <c r="S26" i="36"/>
  <c r="T26" i="36" s="1"/>
  <c r="C26" i="36"/>
  <c r="K26" i="36"/>
  <c r="L35" i="28" s="1"/>
  <c r="W18" i="37"/>
  <c r="X18" i="37"/>
  <c r="Y18" i="37" s="1"/>
  <c r="AB26" i="37"/>
  <c r="AA26" i="37"/>
  <c r="A27" i="37"/>
  <c r="Q26" i="37"/>
  <c r="AF26" i="37"/>
  <c r="X26" i="37"/>
  <c r="Y26" i="37" s="1"/>
  <c r="P26" i="37"/>
  <c r="W26" i="37"/>
  <c r="M26" i="37"/>
  <c r="E26" i="37"/>
  <c r="V26" i="37"/>
  <c r="L26" i="37"/>
  <c r="D26" i="37"/>
  <c r="U26" i="37"/>
  <c r="K33" i="30" s="1"/>
  <c r="K26" i="37"/>
  <c r="M35" i="28" s="1"/>
  <c r="C26" i="37"/>
  <c r="J26" i="37"/>
  <c r="B26" i="37"/>
  <c r="F26" i="37" s="1"/>
  <c r="AE26" i="37"/>
  <c r="S26" i="37"/>
  <c r="T26" i="37" s="1"/>
  <c r="I26" i="37"/>
  <c r="AD26" i="37"/>
  <c r="R26" i="37"/>
  <c r="K33" i="31" s="1"/>
  <c r="H26" i="37"/>
  <c r="Z26" i="37"/>
  <c r="N26" i="37"/>
  <c r="AC26" i="37"/>
  <c r="O26" i="37"/>
  <c r="G26" i="37"/>
  <c r="O31" i="31"/>
  <c r="Q31" i="31"/>
  <c r="N31" i="31"/>
  <c r="M31" i="31"/>
  <c r="L31" i="31"/>
  <c r="P31" i="31"/>
  <c r="AB20" i="19"/>
  <c r="N19" i="33" s="1"/>
  <c r="AA21" i="19"/>
  <c r="M32" i="28"/>
  <c r="K24" i="37"/>
  <c r="F25" i="37"/>
  <c r="AD16" i="37"/>
  <c r="AC17" i="37"/>
  <c r="AF26" i="19"/>
  <c r="G34" i="25" s="1"/>
  <c r="X26" i="19"/>
  <c r="Y26" i="19" s="1"/>
  <c r="P26" i="19"/>
  <c r="H26" i="19"/>
  <c r="AE26" i="19"/>
  <c r="W26" i="19"/>
  <c r="G33" i="31" s="1"/>
  <c r="O26" i="19"/>
  <c r="G26" i="19"/>
  <c r="AD26" i="19"/>
  <c r="L25" i="33" s="1"/>
  <c r="V26" i="19"/>
  <c r="N26" i="19"/>
  <c r="AC26" i="19"/>
  <c r="U26" i="19"/>
  <c r="I33" i="30" s="1"/>
  <c r="M26" i="19"/>
  <c r="E26" i="19"/>
  <c r="AB26" i="19"/>
  <c r="N25" i="33" s="1"/>
  <c r="L26" i="19"/>
  <c r="G35" i="28" s="1"/>
  <c r="D26" i="19"/>
  <c r="I35" i="28" s="1"/>
  <c r="AA26" i="19"/>
  <c r="S26" i="19"/>
  <c r="T26" i="19" s="1"/>
  <c r="K26" i="19"/>
  <c r="K35" i="28" s="1"/>
  <c r="C26" i="19"/>
  <c r="A27" i="19"/>
  <c r="Q26" i="19"/>
  <c r="I26" i="19"/>
  <c r="J26" i="19"/>
  <c r="B26" i="19"/>
  <c r="R26" i="19"/>
  <c r="I33" i="31" s="1"/>
  <c r="Z26" i="19"/>
  <c r="G33" i="30" s="1"/>
  <c r="F26" i="30"/>
  <c r="Z20" i="11"/>
  <c r="K32" i="28"/>
  <c r="K24" i="19"/>
  <c r="AD20" i="36"/>
  <c r="AC21" i="36"/>
  <c r="W16" i="19"/>
  <c r="Z17" i="37"/>
  <c r="Z18" i="37" s="1"/>
  <c r="F28" i="31" l="1"/>
  <c r="X22" i="11"/>
  <c r="Y22" i="11" s="1"/>
  <c r="W22" i="11" s="1"/>
  <c r="K31" i="31"/>
  <c r="S25" i="37"/>
  <c r="T25" i="37" s="1"/>
  <c r="R25" i="37"/>
  <c r="K32" i="31" s="1"/>
  <c r="H28" i="31"/>
  <c r="S22" i="11"/>
  <c r="T22" i="11" s="1"/>
  <c r="R22" i="11" s="1"/>
  <c r="I29" i="31"/>
  <c r="R23" i="19"/>
  <c r="S23" i="19"/>
  <c r="T23" i="19" s="1"/>
  <c r="P32" i="31"/>
  <c r="O32" i="31"/>
  <c r="N32" i="31"/>
  <c r="M32" i="31"/>
  <c r="L32" i="31"/>
  <c r="Q32" i="31"/>
  <c r="M33" i="28"/>
  <c r="K25" i="37"/>
  <c r="M34" i="28" s="1"/>
  <c r="G23" i="31"/>
  <c r="X17" i="19"/>
  <c r="Y17" i="19" s="1"/>
  <c r="W17" i="19"/>
  <c r="AC27" i="11"/>
  <c r="U27" i="11"/>
  <c r="H34" i="30" s="1"/>
  <c r="M27" i="11"/>
  <c r="AB27" i="11"/>
  <c r="M26" i="33" s="1"/>
  <c r="L27" i="11"/>
  <c r="F36" i="28" s="1"/>
  <c r="D27" i="11"/>
  <c r="H36" i="28" s="1"/>
  <c r="AA27" i="11"/>
  <c r="S27" i="11"/>
  <c r="T27" i="11" s="1"/>
  <c r="K27" i="11"/>
  <c r="J36" i="28" s="1"/>
  <c r="C27" i="11"/>
  <c r="Z27" i="11"/>
  <c r="F34" i="30" s="1"/>
  <c r="R27" i="11"/>
  <c r="H34" i="31" s="1"/>
  <c r="J27" i="11"/>
  <c r="B27" i="11"/>
  <c r="A28" i="11"/>
  <c r="Q27" i="11"/>
  <c r="I27" i="11"/>
  <c r="AF27" i="11"/>
  <c r="F35" i="25" s="1"/>
  <c r="X27" i="11"/>
  <c r="Y27" i="11" s="1"/>
  <c r="P27" i="11"/>
  <c r="H27" i="11"/>
  <c r="AD27" i="11"/>
  <c r="K26" i="33" s="1"/>
  <c r="V27" i="11"/>
  <c r="N27" i="11"/>
  <c r="F27" i="11"/>
  <c r="AE27" i="11"/>
  <c r="W27" i="11"/>
  <c r="F34" i="31" s="1"/>
  <c r="O27" i="11"/>
  <c r="G27" i="11"/>
  <c r="Z19" i="37"/>
  <c r="I28" i="30"/>
  <c r="U22" i="19"/>
  <c r="AD21" i="36"/>
  <c r="AC22" i="36"/>
  <c r="F26" i="19"/>
  <c r="D34" i="25"/>
  <c r="J25" i="33"/>
  <c r="I25" i="33"/>
  <c r="E35" i="28"/>
  <c r="D35" i="28"/>
  <c r="E34" i="25"/>
  <c r="E33" i="30"/>
  <c r="E33" i="31"/>
  <c r="D33" i="30"/>
  <c r="D33" i="31"/>
  <c r="AB21" i="19"/>
  <c r="N20" i="33" s="1"/>
  <c r="AA22" i="19"/>
  <c r="E26" i="11"/>
  <c r="C34" i="25"/>
  <c r="H25" i="33"/>
  <c r="C35" i="28"/>
  <c r="C33" i="31"/>
  <c r="C33" i="30"/>
  <c r="J30" i="30"/>
  <c r="U24" i="36"/>
  <c r="W19" i="37"/>
  <c r="X19" i="37"/>
  <c r="Y19" i="37" s="1"/>
  <c r="AD20" i="11"/>
  <c r="K19" i="33" s="1"/>
  <c r="AC21" i="11"/>
  <c r="AB23" i="36"/>
  <c r="AA24" i="36"/>
  <c r="W22" i="36"/>
  <c r="X22" i="36"/>
  <c r="Y22" i="36" s="1"/>
  <c r="Z22" i="36" s="1"/>
  <c r="I32" i="28"/>
  <c r="D24" i="19"/>
  <c r="K33" i="28"/>
  <c r="K25" i="19"/>
  <c r="K34" i="28" s="1"/>
  <c r="AD17" i="37"/>
  <c r="AC18" i="37"/>
  <c r="AB23" i="37"/>
  <c r="AA24" i="37"/>
  <c r="J31" i="31"/>
  <c r="S25" i="36"/>
  <c r="T25" i="36" s="1"/>
  <c r="R25" i="36" s="1"/>
  <c r="J32" i="31" s="1"/>
  <c r="AB27" i="37"/>
  <c r="L27" i="37"/>
  <c r="D27" i="37"/>
  <c r="AA27" i="37"/>
  <c r="S27" i="37"/>
  <c r="T27" i="37" s="1"/>
  <c r="K27" i="37"/>
  <c r="M36" i="28" s="1"/>
  <c r="C27" i="37"/>
  <c r="Z27" i="37"/>
  <c r="R27" i="37"/>
  <c r="K34" i="31" s="1"/>
  <c r="J27" i="37"/>
  <c r="A28" i="37"/>
  <c r="Q27" i="37"/>
  <c r="I27" i="37"/>
  <c r="AF27" i="37"/>
  <c r="X27" i="37"/>
  <c r="Y27" i="37" s="1"/>
  <c r="P27" i="37"/>
  <c r="H27" i="37"/>
  <c r="AD27" i="37"/>
  <c r="G27" i="37"/>
  <c r="AC27" i="37"/>
  <c r="W27" i="37"/>
  <c r="E27" i="37"/>
  <c r="V27" i="37"/>
  <c r="B27" i="37"/>
  <c r="F27" i="37" s="1"/>
  <c r="U27" i="37"/>
  <c r="K34" i="30" s="1"/>
  <c r="O27" i="37"/>
  <c r="AE27" i="37"/>
  <c r="M27" i="37"/>
  <c r="N27" i="37"/>
  <c r="K30" i="30"/>
  <c r="U24" i="37"/>
  <c r="A28" i="36"/>
  <c r="Q27" i="36"/>
  <c r="I27" i="36"/>
  <c r="AF27" i="36"/>
  <c r="X27" i="36"/>
  <c r="Y27" i="36" s="1"/>
  <c r="P27" i="36"/>
  <c r="H27" i="36"/>
  <c r="AE27" i="36"/>
  <c r="W27" i="36"/>
  <c r="O27" i="36"/>
  <c r="G27" i="36"/>
  <c r="AD27" i="36"/>
  <c r="V27" i="36"/>
  <c r="N27" i="36"/>
  <c r="F27" i="36"/>
  <c r="AC27" i="36"/>
  <c r="U27" i="36"/>
  <c r="J34" i="30" s="1"/>
  <c r="M27" i="36"/>
  <c r="AB27" i="36"/>
  <c r="L27" i="36"/>
  <c r="D27" i="36"/>
  <c r="Z27" i="36"/>
  <c r="R27" i="36"/>
  <c r="J34" i="31" s="1"/>
  <c r="J27" i="36"/>
  <c r="B27" i="36"/>
  <c r="E27" i="36" s="1"/>
  <c r="AA27" i="36"/>
  <c r="S27" i="36"/>
  <c r="T27" i="36" s="1"/>
  <c r="K27" i="36"/>
  <c r="L36" i="28" s="1"/>
  <c r="C27" i="36"/>
  <c r="H27" i="30"/>
  <c r="U21" i="11"/>
  <c r="F27" i="30"/>
  <c r="Z21" i="11"/>
  <c r="AF27" i="19"/>
  <c r="G35" i="25" s="1"/>
  <c r="X27" i="19"/>
  <c r="Y27" i="19" s="1"/>
  <c r="P27" i="19"/>
  <c r="H27" i="19"/>
  <c r="AE27" i="19"/>
  <c r="W27" i="19"/>
  <c r="G34" i="31" s="1"/>
  <c r="O27" i="19"/>
  <c r="G27" i="19"/>
  <c r="AD27" i="19"/>
  <c r="L26" i="33" s="1"/>
  <c r="V27" i="19"/>
  <c r="N27" i="19"/>
  <c r="AC27" i="19"/>
  <c r="U27" i="19"/>
  <c r="I34" i="30" s="1"/>
  <c r="M27" i="19"/>
  <c r="E27" i="19"/>
  <c r="AB27" i="19"/>
  <c r="N26" i="33" s="1"/>
  <c r="L27" i="19"/>
  <c r="G36" i="28" s="1"/>
  <c r="D27" i="19"/>
  <c r="I36" i="28" s="1"/>
  <c r="AA27" i="19"/>
  <c r="S27" i="19"/>
  <c r="T27" i="19" s="1"/>
  <c r="K27" i="19"/>
  <c r="K36" i="28" s="1"/>
  <c r="C27" i="19"/>
  <c r="A28" i="19"/>
  <c r="Q27" i="19"/>
  <c r="I27" i="19"/>
  <c r="Z27" i="19"/>
  <c r="G34" i="30" s="1"/>
  <c r="R27" i="19"/>
  <c r="I34" i="31" s="1"/>
  <c r="J27" i="19"/>
  <c r="B27" i="19"/>
  <c r="H33" i="28"/>
  <c r="D25" i="11"/>
  <c r="H34" i="28" s="1"/>
  <c r="AB21" i="11"/>
  <c r="M20" i="33" s="1"/>
  <c r="AA22" i="11"/>
  <c r="H29" i="31" l="1"/>
  <c r="S23" i="11"/>
  <c r="T23" i="11" s="1"/>
  <c r="R23" i="11" s="1"/>
  <c r="F29" i="31"/>
  <c r="X23" i="11"/>
  <c r="Y23" i="11" s="1"/>
  <c r="W23" i="11"/>
  <c r="AB22" i="11"/>
  <c r="M21" i="33" s="1"/>
  <c r="AF28" i="19"/>
  <c r="G36" i="25" s="1"/>
  <c r="X28" i="19"/>
  <c r="Y28" i="19" s="1"/>
  <c r="P28" i="19"/>
  <c r="H28" i="19"/>
  <c r="AE28" i="19"/>
  <c r="W28" i="19"/>
  <c r="G35" i="31" s="1"/>
  <c r="O28" i="19"/>
  <c r="G28" i="19"/>
  <c r="AD28" i="19"/>
  <c r="L27" i="33" s="1"/>
  <c r="V28" i="19"/>
  <c r="N28" i="19"/>
  <c r="AC28" i="19"/>
  <c r="U28" i="19"/>
  <c r="I35" i="30" s="1"/>
  <c r="M28" i="19"/>
  <c r="E28" i="19"/>
  <c r="AB28" i="19"/>
  <c r="N27" i="33" s="1"/>
  <c r="L28" i="19"/>
  <c r="G37" i="28" s="1"/>
  <c r="D28" i="19"/>
  <c r="I37" i="28" s="1"/>
  <c r="AA28" i="19"/>
  <c r="S28" i="19"/>
  <c r="T28" i="19" s="1"/>
  <c r="K28" i="19"/>
  <c r="K37" i="28" s="1"/>
  <c r="C28" i="19"/>
  <c r="A29" i="19"/>
  <c r="Q28" i="19"/>
  <c r="I28" i="19"/>
  <c r="J28" i="19"/>
  <c r="B28" i="19"/>
  <c r="R28" i="19"/>
  <c r="I35" i="31" s="1"/>
  <c r="Z28" i="19"/>
  <c r="G35" i="30" s="1"/>
  <c r="K31" i="30"/>
  <c r="U25" i="37"/>
  <c r="K32" i="30" s="1"/>
  <c r="I33" i="28"/>
  <c r="D25" i="19"/>
  <c r="I34" i="28" s="1"/>
  <c r="F27" i="19"/>
  <c r="D36" i="28"/>
  <c r="J26" i="33"/>
  <c r="E35" i="25"/>
  <c r="I26" i="33"/>
  <c r="D35" i="25"/>
  <c r="E36" i="28"/>
  <c r="D34" i="31"/>
  <c r="E34" i="30"/>
  <c r="D34" i="30"/>
  <c r="E34" i="31"/>
  <c r="AB24" i="37"/>
  <c r="AA25" i="37"/>
  <c r="AB25" i="37" s="1"/>
  <c r="Z23" i="36"/>
  <c r="J31" i="30"/>
  <c r="U25" i="36"/>
  <c r="J32" i="30" s="1"/>
  <c r="AB22" i="19"/>
  <c r="N21" i="33" s="1"/>
  <c r="AA23" i="19"/>
  <c r="AC28" i="11"/>
  <c r="U28" i="11"/>
  <c r="H35" i="30" s="1"/>
  <c r="M28" i="11"/>
  <c r="AB28" i="11"/>
  <c r="M27" i="33" s="1"/>
  <c r="L28" i="11"/>
  <c r="F37" i="28" s="1"/>
  <c r="D28" i="11"/>
  <c r="H37" i="28" s="1"/>
  <c r="AA28" i="11"/>
  <c r="S28" i="11"/>
  <c r="T28" i="11" s="1"/>
  <c r="K28" i="11"/>
  <c r="J37" i="28" s="1"/>
  <c r="C28" i="11"/>
  <c r="Z28" i="11"/>
  <c r="F35" i="30" s="1"/>
  <c r="R28" i="11"/>
  <c r="H35" i="31" s="1"/>
  <c r="J28" i="11"/>
  <c r="B28" i="11"/>
  <c r="A29" i="11"/>
  <c r="Q28" i="11"/>
  <c r="I28" i="11"/>
  <c r="AF28" i="11"/>
  <c r="F36" i="25" s="1"/>
  <c r="X28" i="11"/>
  <c r="Y28" i="11" s="1"/>
  <c r="P28" i="11"/>
  <c r="H28" i="11"/>
  <c r="AD28" i="11"/>
  <c r="K27" i="33" s="1"/>
  <c r="V28" i="11"/>
  <c r="N28" i="11"/>
  <c r="F28" i="11"/>
  <c r="G28" i="11"/>
  <c r="AE28" i="11"/>
  <c r="W28" i="11"/>
  <c r="F35" i="31" s="1"/>
  <c r="O28" i="11"/>
  <c r="Z17" i="19"/>
  <c r="AC17" i="19"/>
  <c r="X20" i="37"/>
  <c r="Y20" i="37" s="1"/>
  <c r="W20" i="37" s="1"/>
  <c r="I29" i="30"/>
  <c r="U23" i="19"/>
  <c r="G24" i="31"/>
  <c r="X18" i="19"/>
  <c r="Y18" i="19" s="1"/>
  <c r="W18" i="19"/>
  <c r="X23" i="36"/>
  <c r="Y23" i="36" s="1"/>
  <c r="W23" i="36" s="1"/>
  <c r="Z20" i="37"/>
  <c r="E27" i="11"/>
  <c r="C36" i="28"/>
  <c r="H26" i="33"/>
  <c r="C35" i="25"/>
  <c r="C34" i="30"/>
  <c r="C34" i="31"/>
  <c r="H28" i="30"/>
  <c r="U22" i="11"/>
  <c r="AB28" i="37"/>
  <c r="L28" i="37"/>
  <c r="D28" i="37"/>
  <c r="AA28" i="37"/>
  <c r="S28" i="37"/>
  <c r="T28" i="37" s="1"/>
  <c r="K28" i="37"/>
  <c r="M37" i="28" s="1"/>
  <c r="C28" i="37"/>
  <c r="Z28" i="37"/>
  <c r="R28" i="37"/>
  <c r="K35" i="31" s="1"/>
  <c r="J28" i="37"/>
  <c r="B28" i="37"/>
  <c r="F28" i="37" s="1"/>
  <c r="A29" i="37"/>
  <c r="Q28" i="37"/>
  <c r="I28" i="37"/>
  <c r="AF28" i="37"/>
  <c r="X28" i="37"/>
  <c r="Y28" i="37" s="1"/>
  <c r="P28" i="37"/>
  <c r="H28" i="37"/>
  <c r="U28" i="37"/>
  <c r="K35" i="30" s="1"/>
  <c r="O28" i="37"/>
  <c r="N28" i="37"/>
  <c r="AE28" i="37"/>
  <c r="M28" i="37"/>
  <c r="AD28" i="37"/>
  <c r="G28" i="37"/>
  <c r="AC28" i="37"/>
  <c r="V28" i="37"/>
  <c r="W28" i="37"/>
  <c r="E28" i="37"/>
  <c r="AD18" i="37"/>
  <c r="AC19" i="37"/>
  <c r="AB24" i="36"/>
  <c r="AA25" i="36"/>
  <c r="AB25" i="36" s="1"/>
  <c r="I30" i="31"/>
  <c r="S24" i="19"/>
  <c r="T24" i="19" s="1"/>
  <c r="R24" i="19" s="1"/>
  <c r="AD21" i="11"/>
  <c r="K20" i="33" s="1"/>
  <c r="AC22" i="11"/>
  <c r="Q33" i="31"/>
  <c r="P33" i="31"/>
  <c r="O33" i="31"/>
  <c r="N33" i="31"/>
  <c r="M33" i="31"/>
  <c r="L33" i="31"/>
  <c r="F28" i="30"/>
  <c r="Z22" i="11"/>
  <c r="A29" i="36"/>
  <c r="Q28" i="36"/>
  <c r="I28" i="36"/>
  <c r="AF28" i="36"/>
  <c r="X28" i="36"/>
  <c r="Y28" i="36" s="1"/>
  <c r="P28" i="36"/>
  <c r="H28" i="36"/>
  <c r="AE28" i="36"/>
  <c r="W28" i="36"/>
  <c r="O28" i="36"/>
  <c r="G28" i="36"/>
  <c r="AD28" i="36"/>
  <c r="V28" i="36"/>
  <c r="N28" i="36"/>
  <c r="F28" i="36"/>
  <c r="AC28" i="36"/>
  <c r="U28" i="36"/>
  <c r="J35" i="30" s="1"/>
  <c r="M28" i="36"/>
  <c r="AB28" i="36"/>
  <c r="L28" i="36"/>
  <c r="D28" i="36"/>
  <c r="Z28" i="36"/>
  <c r="R28" i="36"/>
  <c r="J35" i="31" s="1"/>
  <c r="J28" i="36"/>
  <c r="B28" i="36"/>
  <c r="E28" i="36" s="1"/>
  <c r="AA28" i="36"/>
  <c r="S28" i="36"/>
  <c r="T28" i="36" s="1"/>
  <c r="C28" i="36"/>
  <c r="K28" i="36"/>
  <c r="L37" i="28" s="1"/>
  <c r="AD22" i="36"/>
  <c r="AC23" i="36"/>
  <c r="X24" i="36" l="1"/>
  <c r="Y24" i="36" s="1"/>
  <c r="W24" i="36" s="1"/>
  <c r="I31" i="31"/>
  <c r="R25" i="19"/>
  <c r="I32" i="31" s="1"/>
  <c r="S25" i="19"/>
  <c r="T25" i="19" s="1"/>
  <c r="H30" i="31"/>
  <c r="R24" i="11"/>
  <c r="S24" i="11"/>
  <c r="T24" i="11" s="1"/>
  <c r="X21" i="37"/>
  <c r="Y21" i="37" s="1"/>
  <c r="W21" i="37" s="1"/>
  <c r="Z24" i="36"/>
  <c r="AB29" i="37"/>
  <c r="L29" i="37"/>
  <c r="D29" i="37"/>
  <c r="AA29" i="37"/>
  <c r="S29" i="37"/>
  <c r="T29" i="37" s="1"/>
  <c r="K29" i="37"/>
  <c r="M38" i="28" s="1"/>
  <c r="C29" i="37"/>
  <c r="Z29" i="37"/>
  <c r="R29" i="37"/>
  <c r="K36" i="31" s="1"/>
  <c r="J29" i="37"/>
  <c r="B29" i="37"/>
  <c r="F29" i="37" s="1"/>
  <c r="A30" i="37"/>
  <c r="Q29" i="37"/>
  <c r="I29" i="37"/>
  <c r="AF29" i="37"/>
  <c r="X29" i="37"/>
  <c r="Y29" i="37" s="1"/>
  <c r="P29" i="37"/>
  <c r="H29" i="37"/>
  <c r="AD29" i="37"/>
  <c r="G29" i="37"/>
  <c r="AC29" i="37"/>
  <c r="W29" i="37"/>
  <c r="E29" i="37"/>
  <c r="V29" i="37"/>
  <c r="U29" i="37"/>
  <c r="K36" i="30" s="1"/>
  <c r="O29" i="37"/>
  <c r="AE29" i="37"/>
  <c r="M29" i="37"/>
  <c r="N29" i="37"/>
  <c r="AA23" i="11"/>
  <c r="F30" i="31"/>
  <c r="X24" i="11"/>
  <c r="Y24" i="11" s="1"/>
  <c r="W24" i="11"/>
  <c r="I30" i="30"/>
  <c r="U24" i="19"/>
  <c r="H29" i="30"/>
  <c r="U23" i="11"/>
  <c r="Z21" i="37"/>
  <c r="Q34" i="31"/>
  <c r="P34" i="31"/>
  <c r="O34" i="31"/>
  <c r="L34" i="31"/>
  <c r="N34" i="31"/>
  <c r="M34" i="31"/>
  <c r="AF29" i="19"/>
  <c r="G37" i="25" s="1"/>
  <c r="X29" i="19"/>
  <c r="Y29" i="19" s="1"/>
  <c r="P29" i="19"/>
  <c r="H29" i="19"/>
  <c r="AE29" i="19"/>
  <c r="W29" i="19"/>
  <c r="G36" i="31" s="1"/>
  <c r="O29" i="19"/>
  <c r="G29" i="19"/>
  <c r="AD29" i="19"/>
  <c r="L28" i="33" s="1"/>
  <c r="V29" i="19"/>
  <c r="N29" i="19"/>
  <c r="AC29" i="19"/>
  <c r="U29" i="19"/>
  <c r="I36" i="30" s="1"/>
  <c r="M29" i="19"/>
  <c r="E29" i="19"/>
  <c r="AB29" i="19"/>
  <c r="N28" i="33" s="1"/>
  <c r="L29" i="19"/>
  <c r="G38" i="28" s="1"/>
  <c r="D29" i="19"/>
  <c r="I38" i="28" s="1"/>
  <c r="AA29" i="19"/>
  <c r="S29" i="19"/>
  <c r="T29" i="19" s="1"/>
  <c r="K29" i="19"/>
  <c r="K38" i="28" s="1"/>
  <c r="C29" i="19"/>
  <c r="A30" i="19"/>
  <c r="Q29" i="19"/>
  <c r="I29" i="19"/>
  <c r="Z29" i="19"/>
  <c r="G36" i="30" s="1"/>
  <c r="R29" i="19"/>
  <c r="I36" i="31" s="1"/>
  <c r="J29" i="19"/>
  <c r="B29" i="19"/>
  <c r="AD19" i="37"/>
  <c r="AC20" i="37"/>
  <c r="AB23" i="19"/>
  <c r="N22" i="33" s="1"/>
  <c r="AA24" i="19"/>
  <c r="F28" i="19"/>
  <c r="J27" i="33"/>
  <c r="I27" i="33"/>
  <c r="E37" i="28"/>
  <c r="E36" i="25"/>
  <c r="D37" i="28"/>
  <c r="E35" i="30"/>
  <c r="E35" i="31"/>
  <c r="D35" i="30"/>
  <c r="D36" i="25"/>
  <c r="D35" i="31"/>
  <c r="A30" i="36"/>
  <c r="Q29" i="36"/>
  <c r="I29" i="36"/>
  <c r="AF29" i="36"/>
  <c r="X29" i="36"/>
  <c r="Y29" i="36" s="1"/>
  <c r="P29" i="36"/>
  <c r="H29" i="36"/>
  <c r="AE29" i="36"/>
  <c r="W29" i="36"/>
  <c r="O29" i="36"/>
  <c r="G29" i="36"/>
  <c r="AD29" i="36"/>
  <c r="V29" i="36"/>
  <c r="N29" i="36"/>
  <c r="F29" i="36"/>
  <c r="AC29" i="36"/>
  <c r="U29" i="36"/>
  <c r="J36" i="30" s="1"/>
  <c r="M29" i="36"/>
  <c r="AB29" i="36"/>
  <c r="L29" i="36"/>
  <c r="D29" i="36"/>
  <c r="Z29" i="36"/>
  <c r="R29" i="36"/>
  <c r="J36" i="31" s="1"/>
  <c r="J29" i="36"/>
  <c r="B29" i="36"/>
  <c r="E29" i="36" s="1"/>
  <c r="AA29" i="36"/>
  <c r="S29" i="36"/>
  <c r="T29" i="36" s="1"/>
  <c r="K29" i="36"/>
  <c r="L38" i="28" s="1"/>
  <c r="C29" i="36"/>
  <c r="F29" i="30"/>
  <c r="Z23" i="11"/>
  <c r="AD22" i="11"/>
  <c r="K21" i="33" s="1"/>
  <c r="AC23" i="11"/>
  <c r="AD17" i="19"/>
  <c r="L16" i="33" s="1"/>
  <c r="AC18" i="19"/>
  <c r="AC29" i="11"/>
  <c r="U29" i="11"/>
  <c r="H36" i="30" s="1"/>
  <c r="M29" i="11"/>
  <c r="AB29" i="11"/>
  <c r="M28" i="33" s="1"/>
  <c r="L29" i="11"/>
  <c r="F38" i="28" s="1"/>
  <c r="D29" i="11"/>
  <c r="H38" i="28" s="1"/>
  <c r="AA29" i="11"/>
  <c r="S29" i="11"/>
  <c r="T29" i="11" s="1"/>
  <c r="K29" i="11"/>
  <c r="J38" i="28" s="1"/>
  <c r="C29" i="11"/>
  <c r="Z29" i="11"/>
  <c r="F36" i="30" s="1"/>
  <c r="R29" i="11"/>
  <c r="H36" i="31" s="1"/>
  <c r="J29" i="11"/>
  <c r="B29" i="11"/>
  <c r="A30" i="11"/>
  <c r="Q29" i="11"/>
  <c r="I29" i="11"/>
  <c r="AF29" i="11"/>
  <c r="F37" i="25" s="1"/>
  <c r="X29" i="11"/>
  <c r="Y29" i="11" s="1"/>
  <c r="P29" i="11"/>
  <c r="H29" i="11"/>
  <c r="AD29" i="11"/>
  <c r="K28" i="33" s="1"/>
  <c r="V29" i="11"/>
  <c r="N29" i="11"/>
  <c r="F29" i="11"/>
  <c r="AE29" i="11"/>
  <c r="W29" i="11"/>
  <c r="F36" i="31" s="1"/>
  <c r="O29" i="11"/>
  <c r="G29" i="11"/>
  <c r="AD23" i="36"/>
  <c r="AC24" i="36"/>
  <c r="G25" i="31"/>
  <c r="X19" i="19"/>
  <c r="Y19" i="19" s="1"/>
  <c r="W19" i="19"/>
  <c r="G24" i="30"/>
  <c r="Z18" i="19"/>
  <c r="E28" i="11"/>
  <c r="H27" i="33"/>
  <c r="C36" i="25"/>
  <c r="C35" i="31"/>
  <c r="C37" i="28"/>
  <c r="C35" i="30"/>
  <c r="X22" i="37" l="1"/>
  <c r="Y22" i="37" s="1"/>
  <c r="W22" i="37" s="1"/>
  <c r="X25" i="36"/>
  <c r="Y25" i="36" s="1"/>
  <c r="W25" i="36" s="1"/>
  <c r="H30" i="30"/>
  <c r="U24" i="11"/>
  <c r="Q35" i="31"/>
  <c r="P35" i="31"/>
  <c r="O35" i="31"/>
  <c r="N35" i="31"/>
  <c r="M35" i="31"/>
  <c r="L35" i="31"/>
  <c r="AD18" i="19"/>
  <c r="L17" i="33" s="1"/>
  <c r="AC19" i="19"/>
  <c r="AD20" i="37"/>
  <c r="AC21" i="37"/>
  <c r="AF30" i="19"/>
  <c r="G38" i="25" s="1"/>
  <c r="X30" i="19"/>
  <c r="Y30" i="19" s="1"/>
  <c r="P30" i="19"/>
  <c r="H30" i="19"/>
  <c r="AE30" i="19"/>
  <c r="W30" i="19"/>
  <c r="G37" i="31" s="1"/>
  <c r="O30" i="19"/>
  <c r="G30" i="19"/>
  <c r="AD30" i="19"/>
  <c r="L29" i="33" s="1"/>
  <c r="V30" i="19"/>
  <c r="N30" i="19"/>
  <c r="AC30" i="19"/>
  <c r="U30" i="19"/>
  <c r="I37" i="30" s="1"/>
  <c r="M30" i="19"/>
  <c r="E30" i="19"/>
  <c r="AB30" i="19"/>
  <c r="N29" i="33" s="1"/>
  <c r="L30" i="19"/>
  <c r="G39" i="28" s="1"/>
  <c r="D30" i="19"/>
  <c r="I39" i="28" s="1"/>
  <c r="AA30" i="19"/>
  <c r="S30" i="19"/>
  <c r="T30" i="19" s="1"/>
  <c r="K30" i="19"/>
  <c r="K39" i="28" s="1"/>
  <c r="C30" i="19"/>
  <c r="A31" i="19"/>
  <c r="Q30" i="19"/>
  <c r="I30" i="19"/>
  <c r="J30" i="19"/>
  <c r="B30" i="19"/>
  <c r="R30" i="19"/>
  <c r="I37" i="31" s="1"/>
  <c r="Z30" i="19"/>
  <c r="G37" i="30" s="1"/>
  <c r="I31" i="30"/>
  <c r="U25" i="19"/>
  <c r="I32" i="30" s="1"/>
  <c r="H31" i="31"/>
  <c r="S25" i="11"/>
  <c r="T25" i="11" s="1"/>
  <c r="R25" i="11" s="1"/>
  <c r="H32" i="31" s="1"/>
  <c r="AD24" i="36"/>
  <c r="AC25" i="36"/>
  <c r="AD25" i="36" s="1"/>
  <c r="AC30" i="11"/>
  <c r="U30" i="11"/>
  <c r="H37" i="30" s="1"/>
  <c r="M30" i="11"/>
  <c r="AB30" i="11"/>
  <c r="M29" i="33" s="1"/>
  <c r="L30" i="11"/>
  <c r="F39" i="28" s="1"/>
  <c r="D30" i="11"/>
  <c r="H39" i="28" s="1"/>
  <c r="AA30" i="11"/>
  <c r="S30" i="11"/>
  <c r="T30" i="11" s="1"/>
  <c r="K30" i="11"/>
  <c r="J39" i="28" s="1"/>
  <c r="C30" i="11"/>
  <c r="Z30" i="11"/>
  <c r="F37" i="30" s="1"/>
  <c r="R30" i="11"/>
  <c r="H37" i="31" s="1"/>
  <c r="J30" i="11"/>
  <c r="B30" i="11"/>
  <c r="A31" i="11"/>
  <c r="Q30" i="11"/>
  <c r="I30" i="11"/>
  <c r="AF30" i="11"/>
  <c r="F38" i="25" s="1"/>
  <c r="X30" i="11"/>
  <c r="Y30" i="11" s="1"/>
  <c r="P30" i="11"/>
  <c r="H30" i="11"/>
  <c r="AD30" i="11"/>
  <c r="K29" i="33" s="1"/>
  <c r="V30" i="11"/>
  <c r="N30" i="11"/>
  <c r="F30" i="11"/>
  <c r="G30" i="11"/>
  <c r="AE30" i="11"/>
  <c r="W30" i="11"/>
  <c r="F37" i="31" s="1"/>
  <c r="O30" i="11"/>
  <c r="E29" i="11"/>
  <c r="C37" i="25"/>
  <c r="C38" i="28"/>
  <c r="H28" i="33"/>
  <c r="C36" i="31"/>
  <c r="C36" i="30"/>
  <c r="AD23" i="11"/>
  <c r="K22" i="33" s="1"/>
  <c r="AC24" i="11"/>
  <c r="A31" i="36"/>
  <c r="Q30" i="36"/>
  <c r="I30" i="36"/>
  <c r="AF30" i="36"/>
  <c r="X30" i="36"/>
  <c r="Y30" i="36" s="1"/>
  <c r="P30" i="36"/>
  <c r="H30" i="36"/>
  <c r="AE30" i="36"/>
  <c r="W30" i="36"/>
  <c r="O30" i="36"/>
  <c r="G30" i="36"/>
  <c r="AD30" i="36"/>
  <c r="V30" i="36"/>
  <c r="N30" i="36"/>
  <c r="F30" i="36"/>
  <c r="AC30" i="36"/>
  <c r="U30" i="36"/>
  <c r="J37" i="30" s="1"/>
  <c r="M30" i="36"/>
  <c r="AB30" i="36"/>
  <c r="L30" i="36"/>
  <c r="D30" i="36"/>
  <c r="Z30" i="36"/>
  <c r="R30" i="36"/>
  <c r="J37" i="31" s="1"/>
  <c r="J30" i="36"/>
  <c r="B30" i="36"/>
  <c r="E30" i="36" s="1"/>
  <c r="AA30" i="36"/>
  <c r="S30" i="36"/>
  <c r="T30" i="36" s="1"/>
  <c r="C30" i="36"/>
  <c r="K30" i="36"/>
  <c r="L39" i="28" s="1"/>
  <c r="F29" i="19"/>
  <c r="E37" i="25"/>
  <c r="D37" i="25"/>
  <c r="E38" i="28"/>
  <c r="D38" i="28"/>
  <c r="J28" i="33"/>
  <c r="I28" i="33"/>
  <c r="D36" i="31"/>
  <c r="E36" i="30"/>
  <c r="D36" i="30"/>
  <c r="E36" i="31"/>
  <c r="F31" i="31"/>
  <c r="X25" i="11"/>
  <c r="Y25" i="11" s="1"/>
  <c r="W25" i="11"/>
  <c r="F32" i="31" s="1"/>
  <c r="AB24" i="19"/>
  <c r="N23" i="33" s="1"/>
  <c r="AA25" i="19"/>
  <c r="AB25" i="19" s="1"/>
  <c r="N24" i="33" s="1"/>
  <c r="Z25" i="36"/>
  <c r="G25" i="30"/>
  <c r="Z19" i="19"/>
  <c r="F30" i="30"/>
  <c r="Z24" i="11"/>
  <c r="G26" i="31"/>
  <c r="W20" i="19"/>
  <c r="X20" i="19"/>
  <c r="Y20" i="19" s="1"/>
  <c r="AB30" i="37"/>
  <c r="L30" i="37"/>
  <c r="D30" i="37"/>
  <c r="AA30" i="37"/>
  <c r="S30" i="37"/>
  <c r="T30" i="37" s="1"/>
  <c r="K30" i="37"/>
  <c r="M39" i="28" s="1"/>
  <c r="C30" i="37"/>
  <c r="Z30" i="37"/>
  <c r="R30" i="37"/>
  <c r="K37" i="31" s="1"/>
  <c r="J30" i="37"/>
  <c r="B30" i="37"/>
  <c r="F30" i="37" s="1"/>
  <c r="A31" i="37"/>
  <c r="Q30" i="37"/>
  <c r="I30" i="37"/>
  <c r="AF30" i="37"/>
  <c r="X30" i="37"/>
  <c r="Y30" i="37" s="1"/>
  <c r="P30" i="37"/>
  <c r="H30" i="37"/>
  <c r="U30" i="37"/>
  <c r="K37" i="30" s="1"/>
  <c r="O30" i="37"/>
  <c r="N30" i="37"/>
  <c r="AE30" i="37"/>
  <c r="M30" i="37"/>
  <c r="AD30" i="37"/>
  <c r="G30" i="37"/>
  <c r="AC30" i="37"/>
  <c r="V30" i="37"/>
  <c r="E30" i="37"/>
  <c r="W30" i="37"/>
  <c r="Z22" i="37"/>
  <c r="AB23" i="11"/>
  <c r="M22" i="33" s="1"/>
  <c r="AA24" i="11"/>
  <c r="X23" i="37" l="1"/>
  <c r="Y23" i="37" s="1"/>
  <c r="W23" i="37"/>
  <c r="AD21" i="37"/>
  <c r="AC22" i="37"/>
  <c r="AF31" i="19"/>
  <c r="G39" i="25" s="1"/>
  <c r="X31" i="19"/>
  <c r="Y31" i="19" s="1"/>
  <c r="P31" i="19"/>
  <c r="H31" i="19"/>
  <c r="AE31" i="19"/>
  <c r="W31" i="19"/>
  <c r="G38" i="31" s="1"/>
  <c r="O31" i="19"/>
  <c r="G31" i="19"/>
  <c r="AD31" i="19"/>
  <c r="L30" i="33" s="1"/>
  <c r="V31" i="19"/>
  <c r="N31" i="19"/>
  <c r="AC31" i="19"/>
  <c r="U31" i="19"/>
  <c r="I38" i="30" s="1"/>
  <c r="M31" i="19"/>
  <c r="E31" i="19"/>
  <c r="AB31" i="19"/>
  <c r="N30" i="33" s="1"/>
  <c r="L31" i="19"/>
  <c r="G40" i="28" s="1"/>
  <c r="D31" i="19"/>
  <c r="I40" i="28" s="1"/>
  <c r="AA31" i="19"/>
  <c r="S31" i="19"/>
  <c r="T31" i="19" s="1"/>
  <c r="K31" i="19"/>
  <c r="K40" i="28" s="1"/>
  <c r="C31" i="19"/>
  <c r="A32" i="19"/>
  <c r="Q31" i="19"/>
  <c r="I31" i="19"/>
  <c r="Z31" i="19"/>
  <c r="G38" i="30" s="1"/>
  <c r="R31" i="19"/>
  <c r="I38" i="31" s="1"/>
  <c r="J31" i="19"/>
  <c r="B31" i="19"/>
  <c r="AB24" i="11"/>
  <c r="M23" i="33" s="1"/>
  <c r="AA25" i="11"/>
  <c r="AB25" i="11" s="1"/>
  <c r="M24" i="33" s="1"/>
  <c r="AD19" i="19"/>
  <c r="L18" i="33" s="1"/>
  <c r="AC20" i="19"/>
  <c r="H31" i="30"/>
  <c r="U25" i="11"/>
  <c r="H32" i="30" s="1"/>
  <c r="G27" i="31"/>
  <c r="X21" i="19"/>
  <c r="Y21" i="19" s="1"/>
  <c r="W21" i="19" s="1"/>
  <c r="F31" i="30"/>
  <c r="Z25" i="11"/>
  <c r="F32" i="30" s="1"/>
  <c r="AC31" i="11"/>
  <c r="U31" i="11"/>
  <c r="H38" i="30" s="1"/>
  <c r="M31" i="11"/>
  <c r="AB31" i="11"/>
  <c r="M30" i="33" s="1"/>
  <c r="L31" i="11"/>
  <c r="F40" i="28" s="1"/>
  <c r="D31" i="11"/>
  <c r="H40" i="28" s="1"/>
  <c r="AA31" i="11"/>
  <c r="S31" i="11"/>
  <c r="T31" i="11" s="1"/>
  <c r="K31" i="11"/>
  <c r="J40" i="28" s="1"/>
  <c r="C31" i="11"/>
  <c r="Z31" i="11"/>
  <c r="F38" i="30" s="1"/>
  <c r="R31" i="11"/>
  <c r="H38" i="31" s="1"/>
  <c r="J31" i="11"/>
  <c r="B31" i="11"/>
  <c r="A32" i="11"/>
  <c r="Q31" i="11"/>
  <c r="I31" i="11"/>
  <c r="AF31" i="11"/>
  <c r="F39" i="25" s="1"/>
  <c r="X31" i="11"/>
  <c r="Y31" i="11" s="1"/>
  <c r="P31" i="11"/>
  <c r="H31" i="11"/>
  <c r="AD31" i="11"/>
  <c r="K30" i="33" s="1"/>
  <c r="V31" i="11"/>
  <c r="N31" i="11"/>
  <c r="F31" i="11"/>
  <c r="AE31" i="11"/>
  <c r="W31" i="11"/>
  <c r="F38" i="31" s="1"/>
  <c r="O31" i="11"/>
  <c r="G31" i="11"/>
  <c r="F30" i="19"/>
  <c r="E38" i="25"/>
  <c r="D38" i="25"/>
  <c r="J29" i="33"/>
  <c r="I29" i="33"/>
  <c r="D39" i="28"/>
  <c r="E37" i="30"/>
  <c r="E37" i="31"/>
  <c r="D37" i="30"/>
  <c r="D37" i="31"/>
  <c r="E39" i="28"/>
  <c r="Z23" i="37"/>
  <c r="AB31" i="37"/>
  <c r="L31" i="37"/>
  <c r="D31" i="37"/>
  <c r="AA31" i="37"/>
  <c r="S31" i="37"/>
  <c r="T31" i="37" s="1"/>
  <c r="K31" i="37"/>
  <c r="M40" i="28" s="1"/>
  <c r="C31" i="37"/>
  <c r="Z31" i="37"/>
  <c r="R31" i="37"/>
  <c r="K38" i="31" s="1"/>
  <c r="J31" i="37"/>
  <c r="B31" i="37"/>
  <c r="F31" i="37" s="1"/>
  <c r="A32" i="37"/>
  <c r="Q31" i="37"/>
  <c r="I31" i="37"/>
  <c r="AF31" i="37"/>
  <c r="X31" i="37"/>
  <c r="Y31" i="37" s="1"/>
  <c r="P31" i="37"/>
  <c r="H31" i="37"/>
  <c r="AD31" i="37"/>
  <c r="V31" i="37"/>
  <c r="G31" i="37"/>
  <c r="AE31" i="37"/>
  <c r="AC31" i="37"/>
  <c r="E31" i="37"/>
  <c r="W31" i="37"/>
  <c r="U31" i="37"/>
  <c r="K38" i="30" s="1"/>
  <c r="O31" i="37"/>
  <c r="M31" i="37"/>
  <c r="N31" i="37"/>
  <c r="A32" i="36"/>
  <c r="Q31" i="36"/>
  <c r="I31" i="36"/>
  <c r="AF31" i="36"/>
  <c r="X31" i="36"/>
  <c r="Y31" i="36" s="1"/>
  <c r="P31" i="36"/>
  <c r="H31" i="36"/>
  <c r="AE31" i="36"/>
  <c r="W31" i="36"/>
  <c r="O31" i="36"/>
  <c r="G31" i="36"/>
  <c r="AD31" i="36"/>
  <c r="V31" i="36"/>
  <c r="N31" i="36"/>
  <c r="F31" i="36"/>
  <c r="AC31" i="36"/>
  <c r="U31" i="36"/>
  <c r="J38" i="30" s="1"/>
  <c r="M31" i="36"/>
  <c r="AB31" i="36"/>
  <c r="L31" i="36"/>
  <c r="D31" i="36"/>
  <c r="Z31" i="36"/>
  <c r="R31" i="36"/>
  <c r="J38" i="31" s="1"/>
  <c r="J31" i="36"/>
  <c r="B31" i="36"/>
  <c r="E31" i="36" s="1"/>
  <c r="AA31" i="36"/>
  <c r="S31" i="36"/>
  <c r="T31" i="36" s="1"/>
  <c r="K31" i="36"/>
  <c r="L40" i="28" s="1"/>
  <c r="C31" i="36"/>
  <c r="E30" i="11"/>
  <c r="C39" i="28"/>
  <c r="C38" i="25"/>
  <c r="H29" i="33"/>
  <c r="C37" i="30"/>
  <c r="C37" i="31"/>
  <c r="G26" i="30"/>
  <c r="Z20" i="19"/>
  <c r="L36" i="31"/>
  <c r="N36" i="31"/>
  <c r="Q36" i="31"/>
  <c r="P36" i="31"/>
  <c r="O36" i="31"/>
  <c r="M36" i="31"/>
  <c r="AD24" i="11"/>
  <c r="K23" i="33" s="1"/>
  <c r="AC25" i="11"/>
  <c r="AD25" i="11" s="1"/>
  <c r="K24" i="33" s="1"/>
  <c r="G28" i="31" l="1"/>
  <c r="X22" i="19"/>
  <c r="Y22" i="19" s="1"/>
  <c r="W22" i="19" s="1"/>
  <c r="AD20" i="19"/>
  <c r="L19" i="33" s="1"/>
  <c r="AC21" i="19"/>
  <c r="AD22" i="37"/>
  <c r="AC23" i="37"/>
  <c r="A33" i="36"/>
  <c r="Q32" i="36"/>
  <c r="I32" i="36"/>
  <c r="AF32" i="36"/>
  <c r="X32" i="36"/>
  <c r="Y32" i="36" s="1"/>
  <c r="P32" i="36"/>
  <c r="H32" i="36"/>
  <c r="AE32" i="36"/>
  <c r="W32" i="36"/>
  <c r="O32" i="36"/>
  <c r="G32" i="36"/>
  <c r="AD32" i="36"/>
  <c r="V32" i="36"/>
  <c r="N32" i="36"/>
  <c r="F32" i="36"/>
  <c r="AC32" i="36"/>
  <c r="U32" i="36"/>
  <c r="J39" i="30" s="1"/>
  <c r="M32" i="36"/>
  <c r="AB32" i="36"/>
  <c r="L32" i="36"/>
  <c r="D32" i="36"/>
  <c r="Z32" i="36"/>
  <c r="R32" i="36"/>
  <c r="J39" i="31" s="1"/>
  <c r="J32" i="36"/>
  <c r="B32" i="36"/>
  <c r="E32" i="36" s="1"/>
  <c r="AA32" i="36"/>
  <c r="S32" i="36"/>
  <c r="T32" i="36" s="1"/>
  <c r="C32" i="36"/>
  <c r="K32" i="36"/>
  <c r="L41" i="28" s="1"/>
  <c r="AC32" i="11"/>
  <c r="U32" i="11"/>
  <c r="H39" i="30" s="1"/>
  <c r="M32" i="11"/>
  <c r="AB32" i="11"/>
  <c r="M31" i="33" s="1"/>
  <c r="L32" i="11"/>
  <c r="F41" i="28" s="1"/>
  <c r="D32" i="11"/>
  <c r="H41" i="28" s="1"/>
  <c r="AA32" i="11"/>
  <c r="S32" i="11"/>
  <c r="T32" i="11" s="1"/>
  <c r="K32" i="11"/>
  <c r="J41" i="28" s="1"/>
  <c r="C32" i="11"/>
  <c r="Z32" i="11"/>
  <c r="F39" i="30" s="1"/>
  <c r="R32" i="11"/>
  <c r="H39" i="31" s="1"/>
  <c r="J32" i="11"/>
  <c r="B32" i="11"/>
  <c r="A33" i="11"/>
  <c r="Q32" i="11"/>
  <c r="I32" i="11"/>
  <c r="AF32" i="11"/>
  <c r="F40" i="25" s="1"/>
  <c r="X32" i="11"/>
  <c r="Y32" i="11" s="1"/>
  <c r="P32" i="11"/>
  <c r="H32" i="11"/>
  <c r="AD32" i="11"/>
  <c r="K31" i="33" s="1"/>
  <c r="V32" i="11"/>
  <c r="N32" i="11"/>
  <c r="F32" i="11"/>
  <c r="G32" i="11"/>
  <c r="AE32" i="11"/>
  <c r="W32" i="11"/>
  <c r="F39" i="31" s="1"/>
  <c r="O32" i="11"/>
  <c r="AF32" i="19"/>
  <c r="G40" i="25" s="1"/>
  <c r="X32" i="19"/>
  <c r="Y32" i="19" s="1"/>
  <c r="P32" i="19"/>
  <c r="H32" i="19"/>
  <c r="AE32" i="19"/>
  <c r="W32" i="19"/>
  <c r="G39" i="31" s="1"/>
  <c r="O32" i="19"/>
  <c r="G32" i="19"/>
  <c r="AD32" i="19"/>
  <c r="L31" i="33" s="1"/>
  <c r="V32" i="19"/>
  <c r="N32" i="19"/>
  <c r="AC32" i="19"/>
  <c r="U32" i="19"/>
  <c r="I39" i="30" s="1"/>
  <c r="M32" i="19"/>
  <c r="E32" i="19"/>
  <c r="AB32" i="19"/>
  <c r="N31" i="33" s="1"/>
  <c r="L32" i="19"/>
  <c r="G41" i="28" s="1"/>
  <c r="D32" i="19"/>
  <c r="I41" i="28" s="1"/>
  <c r="AA32" i="19"/>
  <c r="S32" i="19"/>
  <c r="T32" i="19" s="1"/>
  <c r="K32" i="19"/>
  <c r="K41" i="28" s="1"/>
  <c r="C32" i="19"/>
  <c r="A33" i="19"/>
  <c r="Q32" i="19"/>
  <c r="I32" i="19"/>
  <c r="J32" i="19"/>
  <c r="B32" i="19"/>
  <c r="R32" i="19"/>
  <c r="I39" i="31" s="1"/>
  <c r="Z32" i="19"/>
  <c r="G39" i="30" s="1"/>
  <c r="E31" i="11"/>
  <c r="C39" i="25"/>
  <c r="C40" i="28"/>
  <c r="H30" i="33"/>
  <c r="C38" i="30"/>
  <c r="C38" i="31"/>
  <c r="X24" i="37"/>
  <c r="Y24" i="37" s="1"/>
  <c r="W24" i="37" s="1"/>
  <c r="G27" i="30"/>
  <c r="Z21" i="19"/>
  <c r="AB32" i="37"/>
  <c r="L32" i="37"/>
  <c r="D32" i="37"/>
  <c r="AA32" i="37"/>
  <c r="S32" i="37"/>
  <c r="T32" i="37" s="1"/>
  <c r="K32" i="37"/>
  <c r="M41" i="28" s="1"/>
  <c r="C32" i="37"/>
  <c r="Z32" i="37"/>
  <c r="R32" i="37"/>
  <c r="K39" i="31" s="1"/>
  <c r="J32" i="37"/>
  <c r="B32" i="37"/>
  <c r="F32" i="37" s="1"/>
  <c r="A33" i="37"/>
  <c r="Q32" i="37"/>
  <c r="I32" i="37"/>
  <c r="AF32" i="37"/>
  <c r="X32" i="37"/>
  <c r="Y32" i="37" s="1"/>
  <c r="P32" i="37"/>
  <c r="H32" i="37"/>
  <c r="AD32" i="37"/>
  <c r="V32" i="37"/>
  <c r="N32" i="37"/>
  <c r="E32" i="37"/>
  <c r="AE32" i="37"/>
  <c r="AC32" i="37"/>
  <c r="W32" i="37"/>
  <c r="U32" i="37"/>
  <c r="K39" i="30" s="1"/>
  <c r="O32" i="37"/>
  <c r="G32" i="37"/>
  <c r="M32" i="37"/>
  <c r="M37" i="31"/>
  <c r="L37" i="31"/>
  <c r="O37" i="31"/>
  <c r="Q37" i="31"/>
  <c r="P37" i="31"/>
  <c r="N37" i="31"/>
  <c r="F31" i="19"/>
  <c r="E40" i="28"/>
  <c r="D40" i="28"/>
  <c r="J30" i="33"/>
  <c r="D39" i="25"/>
  <c r="I30" i="33"/>
  <c r="D38" i="30"/>
  <c r="E38" i="31"/>
  <c r="D38" i="31"/>
  <c r="E39" i="25"/>
  <c r="E38" i="30"/>
  <c r="X25" i="37" l="1"/>
  <c r="Y25" i="37" s="1"/>
  <c r="W25" i="37" s="1"/>
  <c r="G29" i="31"/>
  <c r="X23" i="19"/>
  <c r="Y23" i="19" s="1"/>
  <c r="W23" i="19" s="1"/>
  <c r="AD33" i="19"/>
  <c r="L32" i="33" s="1"/>
  <c r="A34" i="19"/>
  <c r="X33" i="19"/>
  <c r="Y33" i="19" s="1"/>
  <c r="P33" i="19"/>
  <c r="H33" i="19"/>
  <c r="AF33" i="19"/>
  <c r="G41" i="25" s="1"/>
  <c r="W33" i="19"/>
  <c r="G40" i="31" s="1"/>
  <c r="O33" i="19"/>
  <c r="G33" i="19"/>
  <c r="AE33" i="19"/>
  <c r="V33" i="19"/>
  <c r="N33" i="19"/>
  <c r="AC33" i="19"/>
  <c r="U33" i="19"/>
  <c r="I40" i="30" s="1"/>
  <c r="M33" i="19"/>
  <c r="E33" i="19"/>
  <c r="AB33" i="19"/>
  <c r="N32" i="33" s="1"/>
  <c r="L33" i="19"/>
  <c r="G42" i="28" s="1"/>
  <c r="D33" i="19"/>
  <c r="I42" i="28" s="1"/>
  <c r="AA33" i="19"/>
  <c r="S33" i="19"/>
  <c r="T33" i="19" s="1"/>
  <c r="K33" i="19"/>
  <c r="K42" i="28" s="1"/>
  <c r="C33" i="19"/>
  <c r="Q33" i="19"/>
  <c r="I33" i="19"/>
  <c r="Z33" i="19"/>
  <c r="G40" i="30" s="1"/>
  <c r="R33" i="19"/>
  <c r="I40" i="31" s="1"/>
  <c r="J33" i="19"/>
  <c r="B33" i="19"/>
  <c r="A34" i="36"/>
  <c r="Q33" i="36"/>
  <c r="I33" i="36"/>
  <c r="AF33" i="36"/>
  <c r="X33" i="36"/>
  <c r="Y33" i="36" s="1"/>
  <c r="P33" i="36"/>
  <c r="H33" i="36"/>
  <c r="AE33" i="36"/>
  <c r="W33" i="36"/>
  <c r="O33" i="36"/>
  <c r="G33" i="36"/>
  <c r="AD33" i="36"/>
  <c r="V33" i="36"/>
  <c r="N33" i="36"/>
  <c r="F33" i="36"/>
  <c r="AC33" i="36"/>
  <c r="U33" i="36"/>
  <c r="J40" i="30" s="1"/>
  <c r="M33" i="36"/>
  <c r="AB33" i="36"/>
  <c r="L33" i="36"/>
  <c r="D33" i="36"/>
  <c r="Z33" i="36"/>
  <c r="R33" i="36"/>
  <c r="J40" i="31" s="1"/>
  <c r="J33" i="36"/>
  <c r="B33" i="36"/>
  <c r="E33" i="36" s="1"/>
  <c r="AA33" i="36"/>
  <c r="S33" i="36"/>
  <c r="T33" i="36" s="1"/>
  <c r="K33" i="36"/>
  <c r="L42" i="28" s="1"/>
  <c r="C33" i="36"/>
  <c r="Z24" i="37"/>
  <c r="Z25" i="37" s="1"/>
  <c r="AD23" i="37"/>
  <c r="AC24" i="37"/>
  <c r="AD21" i="19"/>
  <c r="L20" i="33" s="1"/>
  <c r="AC22" i="19"/>
  <c r="AB33" i="37"/>
  <c r="L33" i="37"/>
  <c r="D33" i="37"/>
  <c r="AA33" i="37"/>
  <c r="S33" i="37"/>
  <c r="T33" i="37" s="1"/>
  <c r="K33" i="37"/>
  <c r="M42" i="28" s="1"/>
  <c r="C33" i="37"/>
  <c r="Z33" i="37"/>
  <c r="R33" i="37"/>
  <c r="K40" i="31" s="1"/>
  <c r="J33" i="37"/>
  <c r="B33" i="37"/>
  <c r="F33" i="37" s="1"/>
  <c r="A34" i="37"/>
  <c r="Q33" i="37"/>
  <c r="I33" i="37"/>
  <c r="AF33" i="37"/>
  <c r="X33" i="37"/>
  <c r="Y33" i="37" s="1"/>
  <c r="P33" i="37"/>
  <c r="H33" i="37"/>
  <c r="AD33" i="37"/>
  <c r="V33" i="37"/>
  <c r="N33" i="37"/>
  <c r="E33" i="37"/>
  <c r="AE33" i="37"/>
  <c r="AC33" i="37"/>
  <c r="W33" i="37"/>
  <c r="U33" i="37"/>
  <c r="K40" i="30" s="1"/>
  <c r="O33" i="37"/>
  <c r="G33" i="37"/>
  <c r="M33" i="37"/>
  <c r="N38" i="31"/>
  <c r="M38" i="31"/>
  <c r="P38" i="31"/>
  <c r="L38" i="31"/>
  <c r="Q38" i="31"/>
  <c r="O38" i="31"/>
  <c r="F32" i="19"/>
  <c r="E41" i="28"/>
  <c r="E40" i="25"/>
  <c r="D41" i="28"/>
  <c r="D40" i="25"/>
  <c r="I31" i="33"/>
  <c r="E39" i="31"/>
  <c r="D39" i="31"/>
  <c r="E39" i="30"/>
  <c r="J31" i="33"/>
  <c r="D39" i="30"/>
  <c r="AC33" i="11"/>
  <c r="U33" i="11"/>
  <c r="H40" i="30" s="1"/>
  <c r="M33" i="11"/>
  <c r="AB33" i="11"/>
  <c r="M32" i="33" s="1"/>
  <c r="L33" i="11"/>
  <c r="F42" i="28" s="1"/>
  <c r="D33" i="11"/>
  <c r="H42" i="28" s="1"/>
  <c r="AA33" i="11"/>
  <c r="S33" i="11"/>
  <c r="T33" i="11" s="1"/>
  <c r="K33" i="11"/>
  <c r="J42" i="28" s="1"/>
  <c r="C33" i="11"/>
  <c r="Z33" i="11"/>
  <c r="F40" i="30" s="1"/>
  <c r="R33" i="11"/>
  <c r="H40" i="31" s="1"/>
  <c r="J33" i="11"/>
  <c r="B33" i="11"/>
  <c r="A34" i="11"/>
  <c r="Q33" i="11"/>
  <c r="I33" i="11"/>
  <c r="AF33" i="11"/>
  <c r="F41" i="25" s="1"/>
  <c r="X33" i="11"/>
  <c r="Y33" i="11" s="1"/>
  <c r="P33" i="11"/>
  <c r="H33" i="11"/>
  <c r="AD33" i="11"/>
  <c r="K32" i="33" s="1"/>
  <c r="V33" i="11"/>
  <c r="N33" i="11"/>
  <c r="F33" i="11"/>
  <c r="AE33" i="11"/>
  <c r="W33" i="11"/>
  <c r="F40" i="31" s="1"/>
  <c r="O33" i="11"/>
  <c r="G33" i="11"/>
  <c r="E32" i="11"/>
  <c r="H31" i="33"/>
  <c r="C41" i="28"/>
  <c r="C40" i="25"/>
  <c r="C39" i="30"/>
  <c r="C39" i="31"/>
  <c r="G28" i="30"/>
  <c r="Z22" i="19"/>
  <c r="G30" i="31" l="1"/>
  <c r="X24" i="19"/>
  <c r="Y24" i="19" s="1"/>
  <c r="W24" i="19"/>
  <c r="AC34" i="37"/>
  <c r="AB34" i="37"/>
  <c r="AA34" i="37"/>
  <c r="AE34" i="37"/>
  <c r="L34" i="37"/>
  <c r="D34" i="37"/>
  <c r="AD34" i="37"/>
  <c r="S34" i="37"/>
  <c r="T34" i="37" s="1"/>
  <c r="K34" i="37"/>
  <c r="M43" i="28" s="1"/>
  <c r="C34" i="37"/>
  <c r="Z34" i="37"/>
  <c r="R34" i="37"/>
  <c r="K41" i="31" s="1"/>
  <c r="J34" i="37"/>
  <c r="B34" i="37"/>
  <c r="F34" i="37" s="1"/>
  <c r="Q34" i="37"/>
  <c r="I34" i="37"/>
  <c r="X34" i="37"/>
  <c r="Y34" i="37" s="1"/>
  <c r="P34" i="37"/>
  <c r="H34" i="37"/>
  <c r="A35" i="37"/>
  <c r="V34" i="37"/>
  <c r="N34" i="37"/>
  <c r="E34" i="37"/>
  <c r="AF34" i="37"/>
  <c r="W34" i="37"/>
  <c r="U34" i="37"/>
  <c r="K41" i="30" s="1"/>
  <c r="O34" i="37"/>
  <c r="G34" i="37"/>
  <c r="M34" i="37"/>
  <c r="O39" i="31"/>
  <c r="N39" i="31"/>
  <c r="M39" i="31"/>
  <c r="L39" i="31"/>
  <c r="Q39" i="31"/>
  <c r="P39" i="31"/>
  <c r="E33" i="11"/>
  <c r="H32" i="33"/>
  <c r="C42" i="28"/>
  <c r="C41" i="25"/>
  <c r="C40" i="31"/>
  <c r="C40" i="30"/>
  <c r="AE34" i="19"/>
  <c r="W34" i="19"/>
  <c r="G41" i="31" s="1"/>
  <c r="O34" i="19"/>
  <c r="G34" i="19"/>
  <c r="AD34" i="19"/>
  <c r="L33" i="33" s="1"/>
  <c r="V34" i="19"/>
  <c r="N34" i="19"/>
  <c r="AC34" i="19"/>
  <c r="U34" i="19"/>
  <c r="I41" i="30" s="1"/>
  <c r="AB34" i="19"/>
  <c r="N33" i="33" s="1"/>
  <c r="L34" i="19"/>
  <c r="G43" i="28" s="1"/>
  <c r="D34" i="19"/>
  <c r="I43" i="28" s="1"/>
  <c r="AA34" i="19"/>
  <c r="S34" i="19"/>
  <c r="T34" i="19" s="1"/>
  <c r="K34" i="19"/>
  <c r="K43" i="28" s="1"/>
  <c r="C34" i="19"/>
  <c r="AF34" i="19"/>
  <c r="G42" i="25" s="1"/>
  <c r="X34" i="19"/>
  <c r="Y34" i="19" s="1"/>
  <c r="P34" i="19"/>
  <c r="H34" i="19"/>
  <c r="R34" i="19"/>
  <c r="I41" i="31" s="1"/>
  <c r="Q34" i="19"/>
  <c r="M34" i="19"/>
  <c r="J34" i="19"/>
  <c r="I34" i="19"/>
  <c r="Z34" i="19"/>
  <c r="G41" i="30" s="1"/>
  <c r="B34" i="19"/>
  <c r="A35" i="19"/>
  <c r="E34" i="19"/>
  <c r="AD22" i="19"/>
  <c r="L21" i="33" s="1"/>
  <c r="AC23" i="19"/>
  <c r="A35" i="36"/>
  <c r="Q34" i="36"/>
  <c r="I34" i="36"/>
  <c r="AF34" i="36"/>
  <c r="X34" i="36"/>
  <c r="Y34" i="36" s="1"/>
  <c r="P34" i="36"/>
  <c r="H34" i="36"/>
  <c r="AE34" i="36"/>
  <c r="W34" i="36"/>
  <c r="O34" i="36"/>
  <c r="G34" i="36"/>
  <c r="AD34" i="36"/>
  <c r="V34" i="36"/>
  <c r="N34" i="36"/>
  <c r="F34" i="36"/>
  <c r="AC34" i="36"/>
  <c r="U34" i="36"/>
  <c r="J41" i="30" s="1"/>
  <c r="M34" i="36"/>
  <c r="AB34" i="36"/>
  <c r="L34" i="36"/>
  <c r="D34" i="36"/>
  <c r="Z34" i="36"/>
  <c r="R34" i="36"/>
  <c r="J41" i="31" s="1"/>
  <c r="J34" i="36"/>
  <c r="B34" i="36"/>
  <c r="E34" i="36" s="1"/>
  <c r="AA34" i="36"/>
  <c r="S34" i="36"/>
  <c r="T34" i="36" s="1"/>
  <c r="C34" i="36"/>
  <c r="K34" i="36"/>
  <c r="L43" i="28" s="1"/>
  <c r="G29" i="30"/>
  <c r="Z23" i="19"/>
  <c r="AD24" i="37"/>
  <c r="AC25" i="37"/>
  <c r="AD25" i="37" s="1"/>
  <c r="F33" i="19"/>
  <c r="I32" i="33"/>
  <c r="E41" i="25"/>
  <c r="D41" i="25"/>
  <c r="E42" i="28"/>
  <c r="J32" i="33"/>
  <c r="D42" i="28"/>
  <c r="E40" i="31"/>
  <c r="D40" i="31"/>
  <c r="E40" i="30"/>
  <c r="D40" i="30"/>
  <c r="AC34" i="11"/>
  <c r="U34" i="11"/>
  <c r="H41" i="30" s="1"/>
  <c r="M34" i="11"/>
  <c r="AB34" i="11"/>
  <c r="M33" i="33" s="1"/>
  <c r="L34" i="11"/>
  <c r="F43" i="28" s="1"/>
  <c r="D34" i="11"/>
  <c r="H43" i="28" s="1"/>
  <c r="AA34" i="11"/>
  <c r="S34" i="11"/>
  <c r="T34" i="11" s="1"/>
  <c r="K34" i="11"/>
  <c r="J43" i="28" s="1"/>
  <c r="C34" i="11"/>
  <c r="Z34" i="11"/>
  <c r="F41" i="30" s="1"/>
  <c r="R34" i="11"/>
  <c r="H41" i="31" s="1"/>
  <c r="J34" i="11"/>
  <c r="B34" i="11"/>
  <c r="A35" i="11"/>
  <c r="Q34" i="11"/>
  <c r="I34" i="11"/>
  <c r="AF34" i="11"/>
  <c r="F42" i="25" s="1"/>
  <c r="X34" i="11"/>
  <c r="Y34" i="11" s="1"/>
  <c r="P34" i="11"/>
  <c r="H34" i="11"/>
  <c r="AD34" i="11"/>
  <c r="K33" i="33" s="1"/>
  <c r="V34" i="11"/>
  <c r="N34" i="11"/>
  <c r="F34" i="11"/>
  <c r="G34" i="11"/>
  <c r="AE34" i="11"/>
  <c r="W34" i="11"/>
  <c r="F41" i="31" s="1"/>
  <c r="O34" i="11"/>
  <c r="F34" i="19" l="1"/>
  <c r="D42" i="25"/>
  <c r="J33" i="33"/>
  <c r="I33" i="33"/>
  <c r="E43" i="28"/>
  <c r="D43" i="28"/>
  <c r="E42" i="25"/>
  <c r="E41" i="30"/>
  <c r="E41" i="31"/>
  <c r="D41" i="30"/>
  <c r="D41" i="31"/>
  <c r="AE35" i="19"/>
  <c r="W35" i="19"/>
  <c r="G42" i="31" s="1"/>
  <c r="O35" i="19"/>
  <c r="G35" i="19"/>
  <c r="AD35" i="19"/>
  <c r="L34" i="33" s="1"/>
  <c r="V35" i="19"/>
  <c r="N35" i="19"/>
  <c r="AC35" i="19"/>
  <c r="U35" i="19"/>
  <c r="I42" i="30" s="1"/>
  <c r="M35" i="19"/>
  <c r="E35" i="19"/>
  <c r="AB35" i="19"/>
  <c r="N34" i="33" s="1"/>
  <c r="L35" i="19"/>
  <c r="G44" i="28" s="1"/>
  <c r="D35" i="19"/>
  <c r="I44" i="28" s="1"/>
  <c r="AA35" i="19"/>
  <c r="S35" i="19"/>
  <c r="T35" i="19" s="1"/>
  <c r="K35" i="19"/>
  <c r="K44" i="28" s="1"/>
  <c r="C35" i="19"/>
  <c r="AF35" i="19"/>
  <c r="G43" i="25" s="1"/>
  <c r="X35" i="19"/>
  <c r="Y35" i="19" s="1"/>
  <c r="P35" i="19"/>
  <c r="H35" i="19"/>
  <c r="R35" i="19"/>
  <c r="I42" i="31" s="1"/>
  <c r="Q35" i="19"/>
  <c r="J35" i="19"/>
  <c r="I35" i="19"/>
  <c r="B35" i="19"/>
  <c r="Z35" i="19"/>
  <c r="G42" i="30" s="1"/>
  <c r="A36" i="19"/>
  <c r="A36" i="36"/>
  <c r="Q35" i="36"/>
  <c r="I35" i="36"/>
  <c r="AF35" i="36"/>
  <c r="X35" i="36"/>
  <c r="Y35" i="36" s="1"/>
  <c r="P35" i="36"/>
  <c r="H35" i="36"/>
  <c r="AE35" i="36"/>
  <c r="W35" i="36"/>
  <c r="O35" i="36"/>
  <c r="G35" i="36"/>
  <c r="AD35" i="36"/>
  <c r="V35" i="36"/>
  <c r="N35" i="36"/>
  <c r="F35" i="36"/>
  <c r="AC35" i="36"/>
  <c r="U35" i="36"/>
  <c r="J42" i="30" s="1"/>
  <c r="M35" i="36"/>
  <c r="AB35" i="36"/>
  <c r="L35" i="36"/>
  <c r="D35" i="36"/>
  <c r="Z35" i="36"/>
  <c r="R35" i="36"/>
  <c r="J42" i="31" s="1"/>
  <c r="J35" i="36"/>
  <c r="B35" i="36"/>
  <c r="E35" i="36" s="1"/>
  <c r="AA35" i="36"/>
  <c r="S35" i="36"/>
  <c r="T35" i="36" s="1"/>
  <c r="K35" i="36"/>
  <c r="L44" i="28" s="1"/>
  <c r="C35" i="36"/>
  <c r="E34" i="11"/>
  <c r="C42" i="25"/>
  <c r="H33" i="33"/>
  <c r="C43" i="28"/>
  <c r="C41" i="30"/>
  <c r="C41" i="31"/>
  <c r="AD23" i="19"/>
  <c r="L22" i="33" s="1"/>
  <c r="AC24" i="19"/>
  <c r="G31" i="31"/>
  <c r="X25" i="19"/>
  <c r="Y25" i="19" s="1"/>
  <c r="W25" i="19" s="1"/>
  <c r="G32" i="31" s="1"/>
  <c r="AC35" i="37"/>
  <c r="U35" i="37"/>
  <c r="K42" i="30" s="1"/>
  <c r="M35" i="37"/>
  <c r="E35" i="37"/>
  <c r="AB35" i="37"/>
  <c r="L35" i="37"/>
  <c r="D35" i="37"/>
  <c r="AA35" i="37"/>
  <c r="S35" i="37"/>
  <c r="T35" i="37" s="1"/>
  <c r="K35" i="37"/>
  <c r="M44" i="28" s="1"/>
  <c r="C35" i="37"/>
  <c r="X35" i="37"/>
  <c r="Y35" i="37" s="1"/>
  <c r="J35" i="37"/>
  <c r="W35" i="37"/>
  <c r="I35" i="37"/>
  <c r="A36" i="37"/>
  <c r="V35" i="37"/>
  <c r="H35" i="37"/>
  <c r="AF35" i="37"/>
  <c r="R35" i="37"/>
  <c r="K42" i="31" s="1"/>
  <c r="G35" i="37"/>
  <c r="AE35" i="37"/>
  <c r="Q35" i="37"/>
  <c r="Z35" i="37"/>
  <c r="O35" i="37"/>
  <c r="N35" i="37"/>
  <c r="B35" i="37"/>
  <c r="F35" i="37" s="1"/>
  <c r="AD35" i="37"/>
  <c r="P35" i="37"/>
  <c r="AC35" i="11"/>
  <c r="U35" i="11"/>
  <c r="H42" i="30" s="1"/>
  <c r="M35" i="11"/>
  <c r="AB35" i="11"/>
  <c r="M34" i="33" s="1"/>
  <c r="L35" i="11"/>
  <c r="F44" i="28" s="1"/>
  <c r="D35" i="11"/>
  <c r="H44" i="28" s="1"/>
  <c r="AA35" i="11"/>
  <c r="S35" i="11"/>
  <c r="T35" i="11" s="1"/>
  <c r="K35" i="11"/>
  <c r="J44" i="28" s="1"/>
  <c r="C35" i="11"/>
  <c r="Z35" i="11"/>
  <c r="F42" i="30" s="1"/>
  <c r="R35" i="11"/>
  <c r="H42" i="31" s="1"/>
  <c r="J35" i="11"/>
  <c r="B35" i="11"/>
  <c r="A36" i="11"/>
  <c r="Q35" i="11"/>
  <c r="I35" i="11"/>
  <c r="AF35" i="11"/>
  <c r="F43" i="25" s="1"/>
  <c r="X35" i="11"/>
  <c r="Y35" i="11" s="1"/>
  <c r="P35" i="11"/>
  <c r="H35" i="11"/>
  <c r="AD35" i="11"/>
  <c r="K34" i="33" s="1"/>
  <c r="V35" i="11"/>
  <c r="N35" i="11"/>
  <c r="F35" i="11"/>
  <c r="AE35" i="11"/>
  <c r="W35" i="11"/>
  <c r="F42" i="31" s="1"/>
  <c r="O35" i="11"/>
  <c r="G35" i="11"/>
  <c r="P40" i="31"/>
  <c r="O40" i="31"/>
  <c r="N40" i="31"/>
  <c r="M40" i="31"/>
  <c r="L40" i="31"/>
  <c r="Q40" i="31"/>
  <c r="G30" i="30"/>
  <c r="Z24" i="19"/>
  <c r="AC36" i="37" l="1"/>
  <c r="U36" i="37"/>
  <c r="K43" i="30" s="1"/>
  <c r="M36" i="37"/>
  <c r="E36" i="37"/>
  <c r="AB36" i="37"/>
  <c r="L36" i="37"/>
  <c r="D36" i="37"/>
  <c r="AA36" i="37"/>
  <c r="S36" i="37"/>
  <c r="T36" i="37" s="1"/>
  <c r="K36" i="37"/>
  <c r="M45" i="28" s="1"/>
  <c r="C36" i="37"/>
  <c r="AE36" i="37"/>
  <c r="Q36" i="37"/>
  <c r="AD36" i="37"/>
  <c r="P36" i="37"/>
  <c r="B36" i="37"/>
  <c r="F36" i="37" s="1"/>
  <c r="Z36" i="37"/>
  <c r="O36" i="37"/>
  <c r="N36" i="37"/>
  <c r="X36" i="37"/>
  <c r="Y36" i="37" s="1"/>
  <c r="J36" i="37"/>
  <c r="A37" i="37"/>
  <c r="V36" i="37"/>
  <c r="H36" i="37"/>
  <c r="AF36" i="37"/>
  <c r="W36" i="37"/>
  <c r="R36" i="37"/>
  <c r="K43" i="31" s="1"/>
  <c r="I36" i="37"/>
  <c r="G36" i="37"/>
  <c r="AE36" i="19"/>
  <c r="W36" i="19"/>
  <c r="G43" i="31" s="1"/>
  <c r="O36" i="19"/>
  <c r="G36" i="19"/>
  <c r="AD36" i="19"/>
  <c r="L35" i="33" s="1"/>
  <c r="V36" i="19"/>
  <c r="N36" i="19"/>
  <c r="AC36" i="19"/>
  <c r="U36" i="19"/>
  <c r="I43" i="30" s="1"/>
  <c r="M36" i="19"/>
  <c r="E36" i="19"/>
  <c r="AB36" i="19"/>
  <c r="N35" i="33" s="1"/>
  <c r="L36" i="19"/>
  <c r="G45" i="28" s="1"/>
  <c r="D36" i="19"/>
  <c r="I45" i="28" s="1"/>
  <c r="AA36" i="19"/>
  <c r="S36" i="19"/>
  <c r="T36" i="19" s="1"/>
  <c r="K36" i="19"/>
  <c r="K45" i="28" s="1"/>
  <c r="C36" i="19"/>
  <c r="AF36" i="19"/>
  <c r="G44" i="25" s="1"/>
  <c r="X36" i="19"/>
  <c r="Y36" i="19" s="1"/>
  <c r="P36" i="19"/>
  <c r="H36" i="19"/>
  <c r="R36" i="19"/>
  <c r="I43" i="31" s="1"/>
  <c r="Q36" i="19"/>
  <c r="J36" i="19"/>
  <c r="I36" i="19"/>
  <c r="B36" i="19"/>
  <c r="Z36" i="19"/>
  <c r="G43" i="30" s="1"/>
  <c r="A37" i="19"/>
  <c r="F35" i="19"/>
  <c r="D44" i="28"/>
  <c r="J34" i="33"/>
  <c r="E43" i="25"/>
  <c r="I34" i="33"/>
  <c r="D43" i="25"/>
  <c r="E44" i="28"/>
  <c r="E42" i="30"/>
  <c r="D42" i="30"/>
  <c r="E42" i="31"/>
  <c r="D42" i="31"/>
  <c r="AD24" i="19"/>
  <c r="L23" i="33" s="1"/>
  <c r="AC25" i="19"/>
  <c r="AD25" i="19" s="1"/>
  <c r="L24" i="33" s="1"/>
  <c r="AC36" i="11"/>
  <c r="U36" i="11"/>
  <c r="H43" i="30" s="1"/>
  <c r="M36" i="11"/>
  <c r="AB36" i="11"/>
  <c r="M35" i="33" s="1"/>
  <c r="L36" i="11"/>
  <c r="F45" i="28" s="1"/>
  <c r="D36" i="11"/>
  <c r="H45" i="28" s="1"/>
  <c r="AA36" i="11"/>
  <c r="S36" i="11"/>
  <c r="T36" i="11" s="1"/>
  <c r="K36" i="11"/>
  <c r="J45" i="28" s="1"/>
  <c r="C36" i="11"/>
  <c r="Z36" i="11"/>
  <c r="F43" i="30" s="1"/>
  <c r="R36" i="11"/>
  <c r="H43" i="31" s="1"/>
  <c r="J36" i="11"/>
  <c r="B36" i="11"/>
  <c r="A37" i="11"/>
  <c r="Q36" i="11"/>
  <c r="I36" i="11"/>
  <c r="AF36" i="11"/>
  <c r="F44" i="25" s="1"/>
  <c r="X36" i="11"/>
  <c r="Y36" i="11" s="1"/>
  <c r="P36" i="11"/>
  <c r="H36" i="11"/>
  <c r="AD36" i="11"/>
  <c r="K35" i="33" s="1"/>
  <c r="V36" i="11"/>
  <c r="N36" i="11"/>
  <c r="F36" i="11"/>
  <c r="G36" i="11"/>
  <c r="AE36" i="11"/>
  <c r="W36" i="11"/>
  <c r="F43" i="31" s="1"/>
  <c r="O36" i="11"/>
  <c r="E35" i="11"/>
  <c r="C44" i="28"/>
  <c r="H34" i="33"/>
  <c r="C43" i="25"/>
  <c r="C42" i="30"/>
  <c r="C42" i="31"/>
  <c r="G31" i="30"/>
  <c r="Z25" i="19"/>
  <c r="G32" i="30" s="1"/>
  <c r="A37" i="36"/>
  <c r="Q36" i="36"/>
  <c r="I36" i="36"/>
  <c r="AF36" i="36"/>
  <c r="X36" i="36"/>
  <c r="Y36" i="36" s="1"/>
  <c r="P36" i="36"/>
  <c r="H36" i="36"/>
  <c r="AE36" i="36"/>
  <c r="W36" i="36"/>
  <c r="O36" i="36"/>
  <c r="G36" i="36"/>
  <c r="AD36" i="36"/>
  <c r="V36" i="36"/>
  <c r="N36" i="36"/>
  <c r="F36" i="36"/>
  <c r="AC36" i="36"/>
  <c r="U36" i="36"/>
  <c r="J43" i="30" s="1"/>
  <c r="M36" i="36"/>
  <c r="AB36" i="36"/>
  <c r="L36" i="36"/>
  <c r="D36" i="36"/>
  <c r="Z36" i="36"/>
  <c r="R36" i="36"/>
  <c r="J43" i="31" s="1"/>
  <c r="J36" i="36"/>
  <c r="B36" i="36"/>
  <c r="E36" i="36" s="1"/>
  <c r="AA36" i="36"/>
  <c r="S36" i="36"/>
  <c r="T36" i="36" s="1"/>
  <c r="C36" i="36"/>
  <c r="K36" i="36"/>
  <c r="L45" i="28" s="1"/>
  <c r="Q41" i="31"/>
  <c r="P41" i="31"/>
  <c r="O41" i="31"/>
  <c r="N41" i="31"/>
  <c r="M41" i="31"/>
  <c r="L41" i="31"/>
  <c r="F36" i="19" l="1"/>
  <c r="J35" i="33"/>
  <c r="I35" i="33"/>
  <c r="E45" i="28"/>
  <c r="E44" i="25"/>
  <c r="D45" i="28"/>
  <c r="D44" i="25"/>
  <c r="E43" i="30"/>
  <c r="D43" i="30"/>
  <c r="E43" i="31"/>
  <c r="D43" i="31"/>
  <c r="AC37" i="11"/>
  <c r="U37" i="11"/>
  <c r="H44" i="30" s="1"/>
  <c r="M37" i="11"/>
  <c r="AB37" i="11"/>
  <c r="M36" i="33" s="1"/>
  <c r="L37" i="11"/>
  <c r="F46" i="28" s="1"/>
  <c r="D37" i="11"/>
  <c r="H46" i="28" s="1"/>
  <c r="AA37" i="11"/>
  <c r="S37" i="11"/>
  <c r="T37" i="11" s="1"/>
  <c r="K37" i="11"/>
  <c r="J46" i="28" s="1"/>
  <c r="C37" i="11"/>
  <c r="Z37" i="11"/>
  <c r="F44" i="30" s="1"/>
  <c r="R37" i="11"/>
  <c r="H44" i="31" s="1"/>
  <c r="J37" i="11"/>
  <c r="B37" i="11"/>
  <c r="A38" i="11"/>
  <c r="Q37" i="11"/>
  <c r="I37" i="11"/>
  <c r="AF37" i="11"/>
  <c r="F45" i="25" s="1"/>
  <c r="X37" i="11"/>
  <c r="Y37" i="11" s="1"/>
  <c r="P37" i="11"/>
  <c r="H37" i="11"/>
  <c r="AD37" i="11"/>
  <c r="K36" i="33" s="1"/>
  <c r="V37" i="11"/>
  <c r="N37" i="11"/>
  <c r="F37" i="11"/>
  <c r="AE37" i="11"/>
  <c r="W37" i="11"/>
  <c r="F44" i="31" s="1"/>
  <c r="O37" i="11"/>
  <c r="G37" i="11"/>
  <c r="AC37" i="37"/>
  <c r="U37" i="37"/>
  <c r="K44" i="30" s="1"/>
  <c r="M37" i="37"/>
  <c r="E37" i="37"/>
  <c r="AB37" i="37"/>
  <c r="L37" i="37"/>
  <c r="D37" i="37"/>
  <c r="AA37" i="37"/>
  <c r="S37" i="37"/>
  <c r="T37" i="37" s="1"/>
  <c r="K37" i="37"/>
  <c r="M46" i="28" s="1"/>
  <c r="C37" i="37"/>
  <c r="X37" i="37"/>
  <c r="Y37" i="37" s="1"/>
  <c r="J37" i="37"/>
  <c r="W37" i="37"/>
  <c r="I37" i="37"/>
  <c r="A38" i="37"/>
  <c r="V37" i="37"/>
  <c r="H37" i="37"/>
  <c r="AF37" i="37"/>
  <c r="R37" i="37"/>
  <c r="K44" i="31" s="1"/>
  <c r="G37" i="37"/>
  <c r="AE37" i="37"/>
  <c r="Q37" i="37"/>
  <c r="Z37" i="37"/>
  <c r="O37" i="37"/>
  <c r="AD37" i="37"/>
  <c r="P37" i="37"/>
  <c r="B37" i="37"/>
  <c r="F37" i="37" s="1"/>
  <c r="N37" i="37"/>
  <c r="A38" i="36"/>
  <c r="Q37" i="36"/>
  <c r="I37" i="36"/>
  <c r="AF37" i="36"/>
  <c r="X37" i="36"/>
  <c r="Y37" i="36" s="1"/>
  <c r="P37" i="36"/>
  <c r="H37" i="36"/>
  <c r="AE37" i="36"/>
  <c r="W37" i="36"/>
  <c r="O37" i="36"/>
  <c r="G37" i="36"/>
  <c r="AD37" i="36"/>
  <c r="V37" i="36"/>
  <c r="N37" i="36"/>
  <c r="F37" i="36"/>
  <c r="AC37" i="36"/>
  <c r="U37" i="36"/>
  <c r="J44" i="30" s="1"/>
  <c r="M37" i="36"/>
  <c r="AB37" i="36"/>
  <c r="L37" i="36"/>
  <c r="D37" i="36"/>
  <c r="Z37" i="36"/>
  <c r="R37" i="36"/>
  <c r="J44" i="31" s="1"/>
  <c r="J37" i="36"/>
  <c r="B37" i="36"/>
  <c r="E37" i="36" s="1"/>
  <c r="AA37" i="36"/>
  <c r="S37" i="36"/>
  <c r="T37" i="36" s="1"/>
  <c r="K37" i="36"/>
  <c r="L46" i="28" s="1"/>
  <c r="C37" i="36"/>
  <c r="E36" i="11"/>
  <c r="H35" i="33"/>
  <c r="C44" i="25"/>
  <c r="C43" i="31"/>
  <c r="C43" i="30"/>
  <c r="C45" i="28"/>
  <c r="Q42" i="31"/>
  <c r="P42" i="31"/>
  <c r="O42" i="31"/>
  <c r="N42" i="31"/>
  <c r="M42" i="31"/>
  <c r="L42" i="31"/>
  <c r="AE37" i="19"/>
  <c r="W37" i="19"/>
  <c r="G44" i="31" s="1"/>
  <c r="O37" i="19"/>
  <c r="G37" i="19"/>
  <c r="AD37" i="19"/>
  <c r="L36" i="33" s="1"/>
  <c r="V37" i="19"/>
  <c r="N37" i="19"/>
  <c r="AC37" i="19"/>
  <c r="U37" i="19"/>
  <c r="I44" i="30" s="1"/>
  <c r="M37" i="19"/>
  <c r="E37" i="19"/>
  <c r="AB37" i="19"/>
  <c r="N36" i="33" s="1"/>
  <c r="L37" i="19"/>
  <c r="G46" i="28" s="1"/>
  <c r="D37" i="19"/>
  <c r="I46" i="28" s="1"/>
  <c r="AA37" i="19"/>
  <c r="S37" i="19"/>
  <c r="T37" i="19" s="1"/>
  <c r="K37" i="19"/>
  <c r="K46" i="28" s="1"/>
  <c r="C37" i="19"/>
  <c r="AF37" i="19"/>
  <c r="G45" i="25" s="1"/>
  <c r="X37" i="19"/>
  <c r="Y37" i="19" s="1"/>
  <c r="P37" i="19"/>
  <c r="H37" i="19"/>
  <c r="R37" i="19"/>
  <c r="I44" i="31" s="1"/>
  <c r="Q37" i="19"/>
  <c r="J37" i="19"/>
  <c r="I37" i="19"/>
  <c r="B37" i="19"/>
  <c r="Z37" i="19"/>
  <c r="G44" i="30" s="1"/>
  <c r="A38" i="19"/>
  <c r="AC38" i="37" l="1"/>
  <c r="U38" i="37"/>
  <c r="K45" i="30" s="1"/>
  <c r="M38" i="37"/>
  <c r="E38" i="37"/>
  <c r="AB38" i="37"/>
  <c r="L38" i="37"/>
  <c r="D38" i="37"/>
  <c r="AA38" i="37"/>
  <c r="S38" i="37"/>
  <c r="T38" i="37" s="1"/>
  <c r="K38" i="37"/>
  <c r="M47" i="28" s="1"/>
  <c r="C38" i="37"/>
  <c r="AE38" i="37"/>
  <c r="Q38" i="37"/>
  <c r="AD38" i="37"/>
  <c r="P38" i="37"/>
  <c r="B38" i="37"/>
  <c r="F38" i="37" s="1"/>
  <c r="Z38" i="37"/>
  <c r="O38" i="37"/>
  <c r="N38" i="37"/>
  <c r="X38" i="37"/>
  <c r="Y38" i="37" s="1"/>
  <c r="J38" i="37"/>
  <c r="A39" i="37"/>
  <c r="V38" i="37"/>
  <c r="H38" i="37"/>
  <c r="R38" i="37"/>
  <c r="K45" i="31" s="1"/>
  <c r="I38" i="37"/>
  <c r="G38" i="37"/>
  <c r="W38" i="37"/>
  <c r="AF38" i="37"/>
  <c r="A39" i="36"/>
  <c r="Q38" i="36"/>
  <c r="I38" i="36"/>
  <c r="AF38" i="36"/>
  <c r="X38" i="36"/>
  <c r="Y38" i="36" s="1"/>
  <c r="P38" i="36"/>
  <c r="H38" i="36"/>
  <c r="AE38" i="36"/>
  <c r="W38" i="36"/>
  <c r="O38" i="36"/>
  <c r="G38" i="36"/>
  <c r="AD38" i="36"/>
  <c r="V38" i="36"/>
  <c r="N38" i="36"/>
  <c r="F38" i="36"/>
  <c r="AC38" i="36"/>
  <c r="U38" i="36"/>
  <c r="J45" i="30" s="1"/>
  <c r="M38" i="36"/>
  <c r="AB38" i="36"/>
  <c r="L38" i="36"/>
  <c r="D38" i="36"/>
  <c r="Z38" i="36"/>
  <c r="R38" i="36"/>
  <c r="J45" i="31" s="1"/>
  <c r="J38" i="36"/>
  <c r="B38" i="36"/>
  <c r="E38" i="36" s="1"/>
  <c r="AA38" i="36"/>
  <c r="S38" i="36"/>
  <c r="T38" i="36" s="1"/>
  <c r="C38" i="36"/>
  <c r="K38" i="36"/>
  <c r="L47" i="28" s="1"/>
  <c r="AE38" i="19"/>
  <c r="W38" i="19"/>
  <c r="G45" i="31" s="1"/>
  <c r="O38" i="19"/>
  <c r="G38" i="19"/>
  <c r="AD38" i="19"/>
  <c r="L37" i="33" s="1"/>
  <c r="V38" i="19"/>
  <c r="N38" i="19"/>
  <c r="AC38" i="19"/>
  <c r="U38" i="19"/>
  <c r="I45" i="30" s="1"/>
  <c r="M38" i="19"/>
  <c r="E38" i="19"/>
  <c r="AB38" i="19"/>
  <c r="N37" i="33" s="1"/>
  <c r="L38" i="19"/>
  <c r="G47" i="28" s="1"/>
  <c r="D38" i="19"/>
  <c r="I47" i="28" s="1"/>
  <c r="AA38" i="19"/>
  <c r="S38" i="19"/>
  <c r="T38" i="19" s="1"/>
  <c r="K38" i="19"/>
  <c r="K47" i="28" s="1"/>
  <c r="C38" i="19"/>
  <c r="AF38" i="19"/>
  <c r="G46" i="25" s="1"/>
  <c r="X38" i="19"/>
  <c r="Y38" i="19" s="1"/>
  <c r="P38" i="19"/>
  <c r="H38" i="19"/>
  <c r="R38" i="19"/>
  <c r="I45" i="31" s="1"/>
  <c r="Q38" i="19"/>
  <c r="J38" i="19"/>
  <c r="I38" i="19"/>
  <c r="B38" i="19"/>
  <c r="Z38" i="19"/>
  <c r="G45" i="30" s="1"/>
  <c r="A39" i="19"/>
  <c r="AC38" i="11"/>
  <c r="U38" i="11"/>
  <c r="H45" i="30" s="1"/>
  <c r="M38" i="11"/>
  <c r="AB38" i="11"/>
  <c r="M37" i="33" s="1"/>
  <c r="L38" i="11"/>
  <c r="F47" i="28" s="1"/>
  <c r="D38" i="11"/>
  <c r="H47" i="28" s="1"/>
  <c r="AA38" i="11"/>
  <c r="S38" i="11"/>
  <c r="T38" i="11" s="1"/>
  <c r="K38" i="11"/>
  <c r="J47" i="28" s="1"/>
  <c r="C38" i="11"/>
  <c r="Z38" i="11"/>
  <c r="F45" i="30" s="1"/>
  <c r="R38" i="11"/>
  <c r="H45" i="31" s="1"/>
  <c r="J38" i="11"/>
  <c r="B38" i="11"/>
  <c r="A39" i="11"/>
  <c r="Q38" i="11"/>
  <c r="I38" i="11"/>
  <c r="AF38" i="11"/>
  <c r="F46" i="25" s="1"/>
  <c r="X38" i="11"/>
  <c r="Y38" i="11" s="1"/>
  <c r="P38" i="11"/>
  <c r="H38" i="11"/>
  <c r="AD38" i="11"/>
  <c r="K37" i="33" s="1"/>
  <c r="V38" i="11"/>
  <c r="N38" i="11"/>
  <c r="F38" i="11"/>
  <c r="G38" i="11"/>
  <c r="AE38" i="11"/>
  <c r="W38" i="11"/>
  <c r="F45" i="31" s="1"/>
  <c r="O38" i="11"/>
  <c r="Q43" i="31"/>
  <c r="P43" i="31"/>
  <c r="O43" i="31"/>
  <c r="N43" i="31"/>
  <c r="M43" i="31"/>
  <c r="L43" i="31"/>
  <c r="F37" i="19"/>
  <c r="E45" i="25"/>
  <c r="D45" i="25"/>
  <c r="E46" i="28"/>
  <c r="D46" i="28"/>
  <c r="J36" i="33"/>
  <c r="I36" i="33"/>
  <c r="D44" i="31"/>
  <c r="E44" i="30"/>
  <c r="D44" i="30"/>
  <c r="E44" i="31"/>
  <c r="E37" i="11"/>
  <c r="C45" i="25"/>
  <c r="C46" i="28"/>
  <c r="H36" i="33"/>
  <c r="C44" i="31"/>
  <c r="C44" i="30"/>
  <c r="AC39" i="11" l="1"/>
  <c r="U39" i="11"/>
  <c r="H46" i="30" s="1"/>
  <c r="M39" i="11"/>
  <c r="AB39" i="11"/>
  <c r="M38" i="33" s="1"/>
  <c r="L39" i="11"/>
  <c r="F48" i="28" s="1"/>
  <c r="D39" i="11"/>
  <c r="H48" i="28" s="1"/>
  <c r="AA39" i="11"/>
  <c r="S39" i="11"/>
  <c r="T39" i="11" s="1"/>
  <c r="K39" i="11"/>
  <c r="J48" i="28" s="1"/>
  <c r="C39" i="11"/>
  <c r="Z39" i="11"/>
  <c r="F46" i="30" s="1"/>
  <c r="R39" i="11"/>
  <c r="H46" i="31" s="1"/>
  <c r="J39" i="11"/>
  <c r="B39" i="11"/>
  <c r="A40" i="11"/>
  <c r="Q39" i="11"/>
  <c r="I39" i="11"/>
  <c r="AF39" i="11"/>
  <c r="F47" i="25" s="1"/>
  <c r="X39" i="11"/>
  <c r="Y39" i="11" s="1"/>
  <c r="P39" i="11"/>
  <c r="H39" i="11"/>
  <c r="AD39" i="11"/>
  <c r="K38" i="33" s="1"/>
  <c r="V39" i="11"/>
  <c r="N39" i="11"/>
  <c r="F39" i="11"/>
  <c r="AE39" i="11"/>
  <c r="W39" i="11"/>
  <c r="F46" i="31" s="1"/>
  <c r="O39" i="11"/>
  <c r="G39" i="11"/>
  <c r="A40" i="36"/>
  <c r="Q39" i="36"/>
  <c r="I39" i="36"/>
  <c r="AF39" i="36"/>
  <c r="X39" i="36"/>
  <c r="Y39" i="36" s="1"/>
  <c r="P39" i="36"/>
  <c r="H39" i="36"/>
  <c r="AE39" i="36"/>
  <c r="W39" i="36"/>
  <c r="O39" i="36"/>
  <c r="G39" i="36"/>
  <c r="AD39" i="36"/>
  <c r="V39" i="36"/>
  <c r="N39" i="36"/>
  <c r="F39" i="36"/>
  <c r="AC39" i="36"/>
  <c r="U39" i="36"/>
  <c r="J46" i="30" s="1"/>
  <c r="M39" i="36"/>
  <c r="AB39" i="36"/>
  <c r="L39" i="36"/>
  <c r="D39" i="36"/>
  <c r="Z39" i="36"/>
  <c r="R39" i="36"/>
  <c r="J46" i="31" s="1"/>
  <c r="J39" i="36"/>
  <c r="B39" i="36"/>
  <c r="E39" i="36" s="1"/>
  <c r="AA39" i="36"/>
  <c r="S39" i="36"/>
  <c r="T39" i="36" s="1"/>
  <c r="K39" i="36"/>
  <c r="L48" i="28" s="1"/>
  <c r="C39" i="36"/>
  <c r="AC39" i="37"/>
  <c r="U39" i="37"/>
  <c r="K46" i="30" s="1"/>
  <c r="M39" i="37"/>
  <c r="E39" i="37"/>
  <c r="AB39" i="37"/>
  <c r="L39" i="37"/>
  <c r="D39" i="37"/>
  <c r="AA39" i="37"/>
  <c r="S39" i="37"/>
  <c r="T39" i="37" s="1"/>
  <c r="K39" i="37"/>
  <c r="M48" i="28" s="1"/>
  <c r="C39" i="37"/>
  <c r="X39" i="37"/>
  <c r="Y39" i="37" s="1"/>
  <c r="J39" i="37"/>
  <c r="W39" i="37"/>
  <c r="I39" i="37"/>
  <c r="A40" i="37"/>
  <c r="V39" i="37"/>
  <c r="H39" i="37"/>
  <c r="AF39" i="37"/>
  <c r="R39" i="37"/>
  <c r="K46" i="31" s="1"/>
  <c r="G39" i="37"/>
  <c r="AE39" i="37"/>
  <c r="Q39" i="37"/>
  <c r="Z39" i="37"/>
  <c r="O39" i="37"/>
  <c r="AD39" i="37"/>
  <c r="P39" i="37"/>
  <c r="N39" i="37"/>
  <c r="B39" i="37"/>
  <c r="F39" i="37" s="1"/>
  <c r="L44" i="31"/>
  <c r="Q44" i="31"/>
  <c r="P44" i="31"/>
  <c r="O44" i="31"/>
  <c r="N44" i="31"/>
  <c r="M44" i="31"/>
  <c r="E38" i="11"/>
  <c r="C47" i="28"/>
  <c r="C46" i="25"/>
  <c r="H37" i="33"/>
  <c r="C45" i="30"/>
  <c r="C45" i="31"/>
  <c r="F38" i="19"/>
  <c r="E46" i="25"/>
  <c r="D46" i="25"/>
  <c r="J37" i="33"/>
  <c r="I37" i="33"/>
  <c r="D47" i="28"/>
  <c r="E45" i="30"/>
  <c r="E45" i="31"/>
  <c r="D45" i="30"/>
  <c r="D45" i="31"/>
  <c r="E47" i="28"/>
  <c r="AE39" i="19"/>
  <c r="W39" i="19"/>
  <c r="G46" i="31" s="1"/>
  <c r="O39" i="19"/>
  <c r="G39" i="19"/>
  <c r="AD39" i="19"/>
  <c r="L38" i="33" s="1"/>
  <c r="V39" i="19"/>
  <c r="N39" i="19"/>
  <c r="AC39" i="19"/>
  <c r="U39" i="19"/>
  <c r="I46" i="30" s="1"/>
  <c r="M39" i="19"/>
  <c r="E39" i="19"/>
  <c r="AB39" i="19"/>
  <c r="N38" i="33" s="1"/>
  <c r="L39" i="19"/>
  <c r="G48" i="28" s="1"/>
  <c r="D39" i="19"/>
  <c r="I48" i="28" s="1"/>
  <c r="AA39" i="19"/>
  <c r="S39" i="19"/>
  <c r="T39" i="19" s="1"/>
  <c r="K39" i="19"/>
  <c r="K48" i="28" s="1"/>
  <c r="C39" i="19"/>
  <c r="AF39" i="19"/>
  <c r="G47" i="25" s="1"/>
  <c r="X39" i="19"/>
  <c r="Y39" i="19" s="1"/>
  <c r="P39" i="19"/>
  <c r="H39" i="19"/>
  <c r="R39" i="19"/>
  <c r="I46" i="31" s="1"/>
  <c r="Q39" i="19"/>
  <c r="J39" i="19"/>
  <c r="I39" i="19"/>
  <c r="B39" i="19"/>
  <c r="Z39" i="19"/>
  <c r="G46" i="30" s="1"/>
  <c r="A40" i="19"/>
  <c r="F39" i="19" l="1"/>
  <c r="E48" i="28"/>
  <c r="D48" i="28"/>
  <c r="J38" i="33"/>
  <c r="D47" i="25"/>
  <c r="E47" i="25"/>
  <c r="D46" i="30"/>
  <c r="I38" i="33"/>
  <c r="E46" i="31"/>
  <c r="D46" i="31"/>
  <c r="E46" i="30"/>
  <c r="AC40" i="11"/>
  <c r="U40" i="11"/>
  <c r="H47" i="30" s="1"/>
  <c r="M40" i="11"/>
  <c r="AB40" i="11"/>
  <c r="M39" i="33" s="1"/>
  <c r="L40" i="11"/>
  <c r="F49" i="28" s="1"/>
  <c r="D40" i="11"/>
  <c r="H49" i="28" s="1"/>
  <c r="AA40" i="11"/>
  <c r="S40" i="11"/>
  <c r="T40" i="11" s="1"/>
  <c r="K40" i="11"/>
  <c r="J49" i="28" s="1"/>
  <c r="C40" i="11"/>
  <c r="Z40" i="11"/>
  <c r="F47" i="30" s="1"/>
  <c r="R40" i="11"/>
  <c r="H47" i="31" s="1"/>
  <c r="J40" i="11"/>
  <c r="B40" i="11"/>
  <c r="A41" i="11"/>
  <c r="Q40" i="11"/>
  <c r="I40" i="11"/>
  <c r="AF40" i="11"/>
  <c r="F48" i="25" s="1"/>
  <c r="X40" i="11"/>
  <c r="Y40" i="11" s="1"/>
  <c r="P40" i="11"/>
  <c r="H40" i="11"/>
  <c r="AD40" i="11"/>
  <c r="K39" i="33" s="1"/>
  <c r="V40" i="11"/>
  <c r="N40" i="11"/>
  <c r="F40" i="11"/>
  <c r="G40" i="11"/>
  <c r="AE40" i="11"/>
  <c r="W40" i="11"/>
  <c r="F47" i="31" s="1"/>
  <c r="O40" i="11"/>
  <c r="A41" i="36"/>
  <c r="Q40" i="36"/>
  <c r="I40" i="36"/>
  <c r="AF40" i="36"/>
  <c r="X40" i="36"/>
  <c r="Y40" i="36" s="1"/>
  <c r="P40" i="36"/>
  <c r="H40" i="36"/>
  <c r="AE40" i="36"/>
  <c r="W40" i="36"/>
  <c r="O40" i="36"/>
  <c r="G40" i="36"/>
  <c r="AD40" i="36"/>
  <c r="V40" i="36"/>
  <c r="N40" i="36"/>
  <c r="F40" i="36"/>
  <c r="AC40" i="36"/>
  <c r="U40" i="36"/>
  <c r="J47" i="30" s="1"/>
  <c r="M40" i="36"/>
  <c r="AB40" i="36"/>
  <c r="L40" i="36"/>
  <c r="D40" i="36"/>
  <c r="Z40" i="36"/>
  <c r="R40" i="36"/>
  <c r="J47" i="31" s="1"/>
  <c r="J40" i="36"/>
  <c r="B40" i="36"/>
  <c r="E40" i="36" s="1"/>
  <c r="AA40" i="36"/>
  <c r="S40" i="36"/>
  <c r="T40" i="36" s="1"/>
  <c r="C40" i="36"/>
  <c r="K40" i="36"/>
  <c r="L49" i="28" s="1"/>
  <c r="E39" i="11"/>
  <c r="C47" i="25"/>
  <c r="C48" i="28"/>
  <c r="H38" i="33"/>
  <c r="C46" i="30"/>
  <c r="C46" i="31"/>
  <c r="AE40" i="19"/>
  <c r="W40" i="19"/>
  <c r="G47" i="31" s="1"/>
  <c r="O40" i="19"/>
  <c r="G40" i="19"/>
  <c r="AD40" i="19"/>
  <c r="L39" i="33" s="1"/>
  <c r="V40" i="19"/>
  <c r="N40" i="19"/>
  <c r="AC40" i="19"/>
  <c r="U40" i="19"/>
  <c r="I47" i="30" s="1"/>
  <c r="M40" i="19"/>
  <c r="E40" i="19"/>
  <c r="AB40" i="19"/>
  <c r="N39" i="33" s="1"/>
  <c r="L40" i="19"/>
  <c r="G49" i="28" s="1"/>
  <c r="D40" i="19"/>
  <c r="I49" i="28" s="1"/>
  <c r="AA40" i="19"/>
  <c r="S40" i="19"/>
  <c r="T40" i="19" s="1"/>
  <c r="K40" i="19"/>
  <c r="K49" i="28" s="1"/>
  <c r="C40" i="19"/>
  <c r="AF40" i="19"/>
  <c r="G48" i="25" s="1"/>
  <c r="X40" i="19"/>
  <c r="Y40" i="19" s="1"/>
  <c r="P40" i="19"/>
  <c r="H40" i="19"/>
  <c r="R40" i="19"/>
  <c r="I47" i="31" s="1"/>
  <c r="Q40" i="19"/>
  <c r="J40" i="19"/>
  <c r="I40" i="19"/>
  <c r="B40" i="19"/>
  <c r="Z40" i="19"/>
  <c r="G47" i="30" s="1"/>
  <c r="A41" i="19"/>
  <c r="M45" i="31"/>
  <c r="L45" i="31"/>
  <c r="O45" i="31"/>
  <c r="Q45" i="31"/>
  <c r="P45" i="31"/>
  <c r="N45" i="31"/>
  <c r="AC40" i="37"/>
  <c r="U40" i="37"/>
  <c r="K47" i="30" s="1"/>
  <c r="M40" i="37"/>
  <c r="E40" i="37"/>
  <c r="AB40" i="37"/>
  <c r="L40" i="37"/>
  <c r="D40" i="37"/>
  <c r="AA40" i="37"/>
  <c r="S40" i="37"/>
  <c r="T40" i="37" s="1"/>
  <c r="K40" i="37"/>
  <c r="M49" i="28" s="1"/>
  <c r="C40" i="37"/>
  <c r="AE40" i="37"/>
  <c r="Q40" i="37"/>
  <c r="AD40" i="37"/>
  <c r="P40" i="37"/>
  <c r="B40" i="37"/>
  <c r="F40" i="37" s="1"/>
  <c r="Z40" i="37"/>
  <c r="O40" i="37"/>
  <c r="N40" i="37"/>
  <c r="X40" i="37"/>
  <c r="Y40" i="37" s="1"/>
  <c r="J40" i="37"/>
  <c r="A41" i="37"/>
  <c r="V40" i="37"/>
  <c r="H40" i="37"/>
  <c r="G40" i="37"/>
  <c r="AF40" i="37"/>
  <c r="W40" i="37"/>
  <c r="I40" i="37"/>
  <c r="R40" i="37"/>
  <c r="K47" i="31" s="1"/>
  <c r="AE41" i="19" l="1"/>
  <c r="W41" i="19"/>
  <c r="G48" i="31" s="1"/>
  <c r="O41" i="19"/>
  <c r="G41" i="19"/>
  <c r="AD41" i="19"/>
  <c r="L40" i="33" s="1"/>
  <c r="V41" i="19"/>
  <c r="N41" i="19"/>
  <c r="AC41" i="19"/>
  <c r="U41" i="19"/>
  <c r="I48" i="30" s="1"/>
  <c r="M41" i="19"/>
  <c r="E41" i="19"/>
  <c r="AB41" i="19"/>
  <c r="N40" i="33" s="1"/>
  <c r="L41" i="19"/>
  <c r="G50" i="28" s="1"/>
  <c r="D41" i="19"/>
  <c r="I50" i="28" s="1"/>
  <c r="AA41" i="19"/>
  <c r="S41" i="19"/>
  <c r="T41" i="19" s="1"/>
  <c r="K41" i="19"/>
  <c r="K50" i="28" s="1"/>
  <c r="C41" i="19"/>
  <c r="AF41" i="19"/>
  <c r="G49" i="25" s="1"/>
  <c r="X41" i="19"/>
  <c r="Y41" i="19" s="1"/>
  <c r="P41" i="19"/>
  <c r="H41" i="19"/>
  <c r="R41" i="19"/>
  <c r="I48" i="31" s="1"/>
  <c r="Q41" i="19"/>
  <c r="J41" i="19"/>
  <c r="I41" i="19"/>
  <c r="B41" i="19"/>
  <c r="Z41" i="19"/>
  <c r="G48" i="30" s="1"/>
  <c r="A42" i="19"/>
  <c r="F40" i="19"/>
  <c r="E49" i="28"/>
  <c r="E48" i="25"/>
  <c r="D49" i="28"/>
  <c r="D48" i="25"/>
  <c r="I39" i="33"/>
  <c r="J39" i="33"/>
  <c r="E47" i="31"/>
  <c r="D47" i="31"/>
  <c r="E47" i="30"/>
  <c r="D47" i="30"/>
  <c r="AC41" i="37"/>
  <c r="U41" i="37"/>
  <c r="K48" i="30" s="1"/>
  <c r="M41" i="37"/>
  <c r="E41" i="37"/>
  <c r="AB41" i="37"/>
  <c r="L41" i="37"/>
  <c r="D41" i="37"/>
  <c r="AA41" i="37"/>
  <c r="S41" i="37"/>
  <c r="T41" i="37" s="1"/>
  <c r="K41" i="37"/>
  <c r="M50" i="28" s="1"/>
  <c r="C41" i="37"/>
  <c r="X41" i="37"/>
  <c r="Y41" i="37" s="1"/>
  <c r="J41" i="37"/>
  <c r="W41" i="37"/>
  <c r="I41" i="37"/>
  <c r="A42" i="37"/>
  <c r="V41" i="37"/>
  <c r="H41" i="37"/>
  <c r="AF41" i="37"/>
  <c r="R41" i="37"/>
  <c r="K48" i="31" s="1"/>
  <c r="G41" i="37"/>
  <c r="AE41" i="37"/>
  <c r="Q41" i="37"/>
  <c r="Z41" i="37"/>
  <c r="O41" i="37"/>
  <c r="P41" i="37"/>
  <c r="N41" i="37"/>
  <c r="B41" i="37"/>
  <c r="F41" i="37" s="1"/>
  <c r="AD41" i="37"/>
  <c r="AC41" i="11"/>
  <c r="U41" i="11"/>
  <c r="H48" i="30" s="1"/>
  <c r="M41" i="11"/>
  <c r="AB41" i="11"/>
  <c r="M40" i="33" s="1"/>
  <c r="L41" i="11"/>
  <c r="F50" i="28" s="1"/>
  <c r="D41" i="11"/>
  <c r="H50" i="28" s="1"/>
  <c r="AA41" i="11"/>
  <c r="S41" i="11"/>
  <c r="T41" i="11" s="1"/>
  <c r="K41" i="11"/>
  <c r="J50" i="28" s="1"/>
  <c r="C41" i="11"/>
  <c r="Z41" i="11"/>
  <c r="F48" i="30" s="1"/>
  <c r="R41" i="11"/>
  <c r="H48" i="31" s="1"/>
  <c r="J41" i="11"/>
  <c r="B41" i="11"/>
  <c r="A42" i="11"/>
  <c r="Q41" i="11"/>
  <c r="I41" i="11"/>
  <c r="AF41" i="11"/>
  <c r="F49" i="25" s="1"/>
  <c r="X41" i="11"/>
  <c r="Y41" i="11" s="1"/>
  <c r="P41" i="11"/>
  <c r="H41" i="11"/>
  <c r="AD41" i="11"/>
  <c r="K40" i="33" s="1"/>
  <c r="V41" i="11"/>
  <c r="N41" i="11"/>
  <c r="F41" i="11"/>
  <c r="AE41" i="11"/>
  <c r="W41" i="11"/>
  <c r="F48" i="31" s="1"/>
  <c r="O41" i="11"/>
  <c r="G41" i="11"/>
  <c r="A42" i="36"/>
  <c r="Q41" i="36"/>
  <c r="I41" i="36"/>
  <c r="AF41" i="36"/>
  <c r="X41" i="36"/>
  <c r="Y41" i="36" s="1"/>
  <c r="P41" i="36"/>
  <c r="H41" i="36"/>
  <c r="AE41" i="36"/>
  <c r="W41" i="36"/>
  <c r="O41" i="36"/>
  <c r="G41" i="36"/>
  <c r="AD41" i="36"/>
  <c r="V41" i="36"/>
  <c r="N41" i="36"/>
  <c r="F41" i="36"/>
  <c r="AC41" i="36"/>
  <c r="U41" i="36"/>
  <c r="J48" i="30" s="1"/>
  <c r="M41" i="36"/>
  <c r="AB41" i="36"/>
  <c r="L41" i="36"/>
  <c r="D41" i="36"/>
  <c r="Z41" i="36"/>
  <c r="R41" i="36"/>
  <c r="J48" i="31" s="1"/>
  <c r="J41" i="36"/>
  <c r="B41" i="36"/>
  <c r="E41" i="36" s="1"/>
  <c r="AA41" i="36"/>
  <c r="S41" i="36"/>
  <c r="T41" i="36" s="1"/>
  <c r="K41" i="36"/>
  <c r="L50" i="28" s="1"/>
  <c r="C41" i="36"/>
  <c r="E40" i="11"/>
  <c r="H39" i="33"/>
  <c r="C49" i="28"/>
  <c r="C48" i="25"/>
  <c r="C47" i="30"/>
  <c r="C47" i="31"/>
  <c r="N46" i="31"/>
  <c r="M46" i="31"/>
  <c r="L46" i="31"/>
  <c r="Q46" i="31"/>
  <c r="P46" i="31"/>
  <c r="O46" i="31"/>
  <c r="AC42" i="37" l="1"/>
  <c r="U42" i="37"/>
  <c r="K49" i="30" s="1"/>
  <c r="M42" i="37"/>
  <c r="E42" i="37"/>
  <c r="AB42" i="37"/>
  <c r="L42" i="37"/>
  <c r="D42" i="37"/>
  <c r="AA42" i="37"/>
  <c r="S42" i="37"/>
  <c r="T42" i="37" s="1"/>
  <c r="K42" i="37"/>
  <c r="M51" i="28" s="1"/>
  <c r="C42" i="37"/>
  <c r="AE42" i="37"/>
  <c r="Q42" i="37"/>
  <c r="AD42" i="37"/>
  <c r="P42" i="37"/>
  <c r="B42" i="37"/>
  <c r="F42" i="37" s="1"/>
  <c r="Z42" i="37"/>
  <c r="O42" i="37"/>
  <c r="N42" i="37"/>
  <c r="X42" i="37"/>
  <c r="Y42" i="37" s="1"/>
  <c r="J42" i="37"/>
  <c r="A43" i="37"/>
  <c r="V42" i="37"/>
  <c r="H42" i="37"/>
  <c r="AF42" i="37"/>
  <c r="W42" i="37"/>
  <c r="R42" i="37"/>
  <c r="K49" i="31" s="1"/>
  <c r="I42" i="37"/>
  <c r="G42" i="37"/>
  <c r="O47" i="31"/>
  <c r="N47" i="31"/>
  <c r="M47" i="31"/>
  <c r="L47" i="31"/>
  <c r="Q47" i="31"/>
  <c r="P47" i="31"/>
  <c r="AE42" i="19"/>
  <c r="W42" i="19"/>
  <c r="G49" i="31" s="1"/>
  <c r="O42" i="19"/>
  <c r="G42" i="19"/>
  <c r="AD42" i="19"/>
  <c r="L41" i="33" s="1"/>
  <c r="V42" i="19"/>
  <c r="N42" i="19"/>
  <c r="AC42" i="19"/>
  <c r="U42" i="19"/>
  <c r="I49" i="30" s="1"/>
  <c r="M42" i="19"/>
  <c r="E42" i="19"/>
  <c r="AB42" i="19"/>
  <c r="N41" i="33" s="1"/>
  <c r="L42" i="19"/>
  <c r="G51" i="28" s="1"/>
  <c r="D42" i="19"/>
  <c r="I51" i="28" s="1"/>
  <c r="AA42" i="19"/>
  <c r="S42" i="19"/>
  <c r="T42" i="19" s="1"/>
  <c r="K42" i="19"/>
  <c r="K51" i="28" s="1"/>
  <c r="C42" i="19"/>
  <c r="AF42" i="19"/>
  <c r="G50" i="25" s="1"/>
  <c r="X42" i="19"/>
  <c r="Y42" i="19" s="1"/>
  <c r="P42" i="19"/>
  <c r="H42" i="19"/>
  <c r="R42" i="19"/>
  <c r="I49" i="31" s="1"/>
  <c r="Q42" i="19"/>
  <c r="J42" i="19"/>
  <c r="I42" i="19"/>
  <c r="B42" i="19"/>
  <c r="Z42" i="19"/>
  <c r="G49" i="30" s="1"/>
  <c r="A43" i="19"/>
  <c r="AC42" i="11"/>
  <c r="U42" i="11"/>
  <c r="H49" i="30" s="1"/>
  <c r="M42" i="11"/>
  <c r="AB42" i="11"/>
  <c r="M41" i="33" s="1"/>
  <c r="L42" i="11"/>
  <c r="F51" i="28" s="1"/>
  <c r="D42" i="11"/>
  <c r="H51" i="28" s="1"/>
  <c r="AA42" i="11"/>
  <c r="S42" i="11"/>
  <c r="T42" i="11" s="1"/>
  <c r="K42" i="11"/>
  <c r="J51" i="28" s="1"/>
  <c r="C42" i="11"/>
  <c r="Z42" i="11"/>
  <c r="F49" i="30" s="1"/>
  <c r="R42" i="11"/>
  <c r="H49" i="31" s="1"/>
  <c r="J42" i="11"/>
  <c r="B42" i="11"/>
  <c r="A43" i="11"/>
  <c r="Q42" i="11"/>
  <c r="I42" i="11"/>
  <c r="AF42" i="11"/>
  <c r="F50" i="25" s="1"/>
  <c r="X42" i="11"/>
  <c r="Y42" i="11" s="1"/>
  <c r="P42" i="11"/>
  <c r="H42" i="11"/>
  <c r="AD42" i="11"/>
  <c r="K41" i="33" s="1"/>
  <c r="V42" i="11"/>
  <c r="N42" i="11"/>
  <c r="F42" i="11"/>
  <c r="G42" i="11"/>
  <c r="AE42" i="11"/>
  <c r="W42" i="11"/>
  <c r="F49" i="31" s="1"/>
  <c r="O42" i="11"/>
  <c r="F41" i="19"/>
  <c r="I40" i="33"/>
  <c r="E49" i="25"/>
  <c r="D49" i="25"/>
  <c r="E50" i="28"/>
  <c r="J40" i="33"/>
  <c r="E48" i="31"/>
  <c r="D48" i="31"/>
  <c r="E48" i="30"/>
  <c r="D48" i="30"/>
  <c r="D50" i="28"/>
  <c r="A43" i="36"/>
  <c r="Q42" i="36"/>
  <c r="I42" i="36"/>
  <c r="AF42" i="36"/>
  <c r="X42" i="36"/>
  <c r="Y42" i="36" s="1"/>
  <c r="P42" i="36"/>
  <c r="H42" i="36"/>
  <c r="AE42" i="36"/>
  <c r="W42" i="36"/>
  <c r="O42" i="36"/>
  <c r="G42" i="36"/>
  <c r="AD42" i="36"/>
  <c r="V42" i="36"/>
  <c r="N42" i="36"/>
  <c r="F42" i="36"/>
  <c r="AC42" i="36"/>
  <c r="U42" i="36"/>
  <c r="J49" i="30" s="1"/>
  <c r="M42" i="36"/>
  <c r="AB42" i="36"/>
  <c r="L42" i="36"/>
  <c r="D42" i="36"/>
  <c r="Z42" i="36"/>
  <c r="R42" i="36"/>
  <c r="J49" i="31" s="1"/>
  <c r="J42" i="36"/>
  <c r="B42" i="36"/>
  <c r="E42" i="36" s="1"/>
  <c r="AA42" i="36"/>
  <c r="S42" i="36"/>
  <c r="T42" i="36" s="1"/>
  <c r="C42" i="36"/>
  <c r="K42" i="36"/>
  <c r="L51" i="28" s="1"/>
  <c r="E41" i="11"/>
  <c r="H40" i="33"/>
  <c r="C50" i="28"/>
  <c r="C48" i="31"/>
  <c r="C49" i="25"/>
  <c r="C48" i="30"/>
  <c r="AE43" i="19" l="1"/>
  <c r="W43" i="19"/>
  <c r="G50" i="31" s="1"/>
  <c r="O43" i="19"/>
  <c r="G43" i="19"/>
  <c r="AD43" i="19"/>
  <c r="L42" i="33" s="1"/>
  <c r="V43" i="19"/>
  <c r="N43" i="19"/>
  <c r="AC43" i="19"/>
  <c r="U43" i="19"/>
  <c r="I50" i="30" s="1"/>
  <c r="M43" i="19"/>
  <c r="E43" i="19"/>
  <c r="AB43" i="19"/>
  <c r="N42" i="33" s="1"/>
  <c r="L43" i="19"/>
  <c r="G52" i="28" s="1"/>
  <c r="D43" i="19"/>
  <c r="I52" i="28" s="1"/>
  <c r="AA43" i="19"/>
  <c r="S43" i="19"/>
  <c r="T43" i="19" s="1"/>
  <c r="K43" i="19"/>
  <c r="K52" i="28" s="1"/>
  <c r="C43" i="19"/>
  <c r="AF43" i="19"/>
  <c r="G51" i="25" s="1"/>
  <c r="X43" i="19"/>
  <c r="Y43" i="19" s="1"/>
  <c r="P43" i="19"/>
  <c r="H43" i="19"/>
  <c r="R43" i="19"/>
  <c r="I50" i="31" s="1"/>
  <c r="Q43" i="19"/>
  <c r="J43" i="19"/>
  <c r="I43" i="19"/>
  <c r="B43" i="19"/>
  <c r="Z43" i="19"/>
  <c r="G50" i="30" s="1"/>
  <c r="A44" i="19"/>
  <c r="AC43" i="11"/>
  <c r="U43" i="11"/>
  <c r="H50" i="30" s="1"/>
  <c r="M43" i="11"/>
  <c r="AB43" i="11"/>
  <c r="M42" i="33" s="1"/>
  <c r="L43" i="11"/>
  <c r="F52" i="28" s="1"/>
  <c r="D43" i="11"/>
  <c r="H52" i="28" s="1"/>
  <c r="AA43" i="11"/>
  <c r="S43" i="11"/>
  <c r="T43" i="11" s="1"/>
  <c r="K43" i="11"/>
  <c r="J52" i="28" s="1"/>
  <c r="C43" i="11"/>
  <c r="Z43" i="11"/>
  <c r="F50" i="30" s="1"/>
  <c r="R43" i="11"/>
  <c r="H50" i="31" s="1"/>
  <c r="J43" i="11"/>
  <c r="B43" i="11"/>
  <c r="A44" i="11"/>
  <c r="Q43" i="11"/>
  <c r="I43" i="11"/>
  <c r="AF43" i="11"/>
  <c r="F51" i="25" s="1"/>
  <c r="X43" i="11"/>
  <c r="Y43" i="11" s="1"/>
  <c r="P43" i="11"/>
  <c r="H43" i="11"/>
  <c r="AD43" i="11"/>
  <c r="K42" i="33" s="1"/>
  <c r="V43" i="11"/>
  <c r="N43" i="11"/>
  <c r="F43" i="11"/>
  <c r="AE43" i="11"/>
  <c r="W43" i="11"/>
  <c r="F50" i="31" s="1"/>
  <c r="O43" i="11"/>
  <c r="G43" i="11"/>
  <c r="E42" i="11"/>
  <c r="C50" i="25"/>
  <c r="H41" i="33"/>
  <c r="C51" i="28"/>
  <c r="C49" i="30"/>
  <c r="C49" i="31"/>
  <c r="F42" i="19"/>
  <c r="D50" i="25"/>
  <c r="J41" i="33"/>
  <c r="I41" i="33"/>
  <c r="E51" i="28"/>
  <c r="D51" i="28"/>
  <c r="E50" i="25"/>
  <c r="E49" i="30"/>
  <c r="E49" i="31"/>
  <c r="D49" i="30"/>
  <c r="D49" i="31"/>
  <c r="AC43" i="37"/>
  <c r="U43" i="37"/>
  <c r="K50" i="30" s="1"/>
  <c r="M43" i="37"/>
  <c r="E43" i="37"/>
  <c r="AB43" i="37"/>
  <c r="L43" i="37"/>
  <c r="D43" i="37"/>
  <c r="AA43" i="37"/>
  <c r="S43" i="37"/>
  <c r="T43" i="37" s="1"/>
  <c r="K43" i="37"/>
  <c r="M52" i="28" s="1"/>
  <c r="C43" i="37"/>
  <c r="X43" i="37"/>
  <c r="Y43" i="37" s="1"/>
  <c r="J43" i="37"/>
  <c r="W43" i="37"/>
  <c r="I43" i="37"/>
  <c r="A44" i="37"/>
  <c r="V43" i="37"/>
  <c r="H43" i="37"/>
  <c r="AF43" i="37"/>
  <c r="R43" i="37"/>
  <c r="K50" i="31" s="1"/>
  <c r="G43" i="37"/>
  <c r="AE43" i="37"/>
  <c r="Q43" i="37"/>
  <c r="Z43" i="37"/>
  <c r="O43" i="37"/>
  <c r="N43" i="37"/>
  <c r="B43" i="37"/>
  <c r="F43" i="37" s="1"/>
  <c r="AD43" i="37"/>
  <c r="P43" i="37"/>
  <c r="P48" i="31"/>
  <c r="O48" i="31"/>
  <c r="N48" i="31"/>
  <c r="M48" i="31"/>
  <c r="L48" i="31"/>
  <c r="Q48" i="31"/>
  <c r="A44" i="36"/>
  <c r="Q43" i="36"/>
  <c r="I43" i="36"/>
  <c r="AF43" i="36"/>
  <c r="X43" i="36"/>
  <c r="Y43" i="36" s="1"/>
  <c r="P43" i="36"/>
  <c r="H43" i="36"/>
  <c r="AE43" i="36"/>
  <c r="W43" i="36"/>
  <c r="O43" i="36"/>
  <c r="G43" i="36"/>
  <c r="AD43" i="36"/>
  <c r="V43" i="36"/>
  <c r="N43" i="36"/>
  <c r="F43" i="36"/>
  <c r="AC43" i="36"/>
  <c r="U43" i="36"/>
  <c r="J50" i="30" s="1"/>
  <c r="M43" i="36"/>
  <c r="AB43" i="36"/>
  <c r="L43" i="36"/>
  <c r="D43" i="36"/>
  <c r="Z43" i="36"/>
  <c r="R43" i="36"/>
  <c r="J50" i="31" s="1"/>
  <c r="J43" i="36"/>
  <c r="B43" i="36"/>
  <c r="E43" i="36" s="1"/>
  <c r="AA43" i="36"/>
  <c r="S43" i="36"/>
  <c r="T43" i="36" s="1"/>
  <c r="K43" i="36"/>
  <c r="L52" i="28" s="1"/>
  <c r="C43" i="36"/>
  <c r="Q49" i="31" l="1"/>
  <c r="P49" i="31"/>
  <c r="O49" i="31"/>
  <c r="N49" i="31"/>
  <c r="M49" i="31"/>
  <c r="L49" i="31"/>
  <c r="A45" i="36"/>
  <c r="Q44" i="36"/>
  <c r="I44" i="36"/>
  <c r="AF44" i="36"/>
  <c r="X44" i="36"/>
  <c r="Y44" i="36" s="1"/>
  <c r="P44" i="36"/>
  <c r="H44" i="36"/>
  <c r="AE44" i="36"/>
  <c r="W44" i="36"/>
  <c r="O44" i="36"/>
  <c r="G44" i="36"/>
  <c r="AD44" i="36"/>
  <c r="V44" i="36"/>
  <c r="N44" i="36"/>
  <c r="F44" i="36"/>
  <c r="AC44" i="36"/>
  <c r="U44" i="36"/>
  <c r="J51" i="30" s="1"/>
  <c r="M44" i="36"/>
  <c r="AB44" i="36"/>
  <c r="L44" i="36"/>
  <c r="D44" i="36"/>
  <c r="Z44" i="36"/>
  <c r="R44" i="36"/>
  <c r="J51" i="31" s="1"/>
  <c r="J44" i="36"/>
  <c r="B44" i="36"/>
  <c r="E44" i="36" s="1"/>
  <c r="AA44" i="36"/>
  <c r="S44" i="36"/>
  <c r="T44" i="36" s="1"/>
  <c r="C44" i="36"/>
  <c r="K44" i="36"/>
  <c r="L53" i="28" s="1"/>
  <c r="AC44" i="11"/>
  <c r="U44" i="11"/>
  <c r="H51" i="30" s="1"/>
  <c r="M44" i="11"/>
  <c r="AB44" i="11"/>
  <c r="M43" i="33" s="1"/>
  <c r="L44" i="11"/>
  <c r="F53" i="28" s="1"/>
  <c r="D44" i="11"/>
  <c r="H53" i="28" s="1"/>
  <c r="AA44" i="11"/>
  <c r="S44" i="11"/>
  <c r="T44" i="11" s="1"/>
  <c r="K44" i="11"/>
  <c r="J53" i="28" s="1"/>
  <c r="C44" i="11"/>
  <c r="Z44" i="11"/>
  <c r="F51" i="30" s="1"/>
  <c r="R44" i="11"/>
  <c r="H51" i="31" s="1"/>
  <c r="J44" i="11"/>
  <c r="B44" i="11"/>
  <c r="A45" i="11"/>
  <c r="Q44" i="11"/>
  <c r="I44" i="11"/>
  <c r="AF44" i="11"/>
  <c r="F52" i="25" s="1"/>
  <c r="X44" i="11"/>
  <c r="Y44" i="11" s="1"/>
  <c r="P44" i="11"/>
  <c r="H44" i="11"/>
  <c r="AD44" i="11"/>
  <c r="K43" i="33" s="1"/>
  <c r="V44" i="11"/>
  <c r="N44" i="11"/>
  <c r="F44" i="11"/>
  <c r="G44" i="11"/>
  <c r="AE44" i="11"/>
  <c r="W44" i="11"/>
  <c r="F51" i="31" s="1"/>
  <c r="O44" i="11"/>
  <c r="AC44" i="37"/>
  <c r="U44" i="37"/>
  <c r="K51" i="30" s="1"/>
  <c r="M44" i="37"/>
  <c r="E44" i="37"/>
  <c r="AB44" i="37"/>
  <c r="L44" i="37"/>
  <c r="D44" i="37"/>
  <c r="AA44" i="37"/>
  <c r="S44" i="37"/>
  <c r="T44" i="37" s="1"/>
  <c r="K44" i="37"/>
  <c r="M53" i="28" s="1"/>
  <c r="C44" i="37"/>
  <c r="AE44" i="37"/>
  <c r="Q44" i="37"/>
  <c r="AD44" i="37"/>
  <c r="P44" i="37"/>
  <c r="B44" i="37"/>
  <c r="F44" i="37" s="1"/>
  <c r="Z44" i="37"/>
  <c r="O44" i="37"/>
  <c r="N44" i="37"/>
  <c r="X44" i="37"/>
  <c r="Y44" i="37" s="1"/>
  <c r="J44" i="37"/>
  <c r="A45" i="37"/>
  <c r="V44" i="37"/>
  <c r="H44" i="37"/>
  <c r="AF44" i="37"/>
  <c r="W44" i="37"/>
  <c r="R44" i="37"/>
  <c r="K51" i="31" s="1"/>
  <c r="I44" i="37"/>
  <c r="G44" i="37"/>
  <c r="E43" i="11"/>
  <c r="C52" i="28"/>
  <c r="H42" i="33"/>
  <c r="C51" i="25"/>
  <c r="C50" i="30"/>
  <c r="C50" i="31"/>
  <c r="F43" i="19"/>
  <c r="D52" i="28"/>
  <c r="J42" i="33"/>
  <c r="E51" i="25"/>
  <c r="I42" i="33"/>
  <c r="D51" i="25"/>
  <c r="E52" i="28"/>
  <c r="D50" i="31"/>
  <c r="E50" i="30"/>
  <c r="D50" i="30"/>
  <c r="E50" i="31"/>
  <c r="AE44" i="19"/>
  <c r="W44" i="19"/>
  <c r="G51" i="31" s="1"/>
  <c r="O44" i="19"/>
  <c r="G44" i="19"/>
  <c r="AD44" i="19"/>
  <c r="L43" i="33" s="1"/>
  <c r="V44" i="19"/>
  <c r="N44" i="19"/>
  <c r="AC44" i="19"/>
  <c r="U44" i="19"/>
  <c r="I51" i="30" s="1"/>
  <c r="M44" i="19"/>
  <c r="E44" i="19"/>
  <c r="AB44" i="19"/>
  <c r="N43" i="33" s="1"/>
  <c r="L44" i="19"/>
  <c r="G53" i="28" s="1"/>
  <c r="D44" i="19"/>
  <c r="I53" i="28" s="1"/>
  <c r="AA44" i="19"/>
  <c r="S44" i="19"/>
  <c r="T44" i="19" s="1"/>
  <c r="K44" i="19"/>
  <c r="K53" i="28" s="1"/>
  <c r="C44" i="19"/>
  <c r="AF44" i="19"/>
  <c r="G52" i="25" s="1"/>
  <c r="X44" i="19"/>
  <c r="Y44" i="19" s="1"/>
  <c r="P44" i="19"/>
  <c r="H44" i="19"/>
  <c r="R44" i="19"/>
  <c r="I51" i="31" s="1"/>
  <c r="Q44" i="19"/>
  <c r="J44" i="19"/>
  <c r="I44" i="19"/>
  <c r="B44" i="19"/>
  <c r="Z44" i="19"/>
  <c r="G51" i="30" s="1"/>
  <c r="A45" i="19"/>
  <c r="A46" i="36" l="1"/>
  <c r="Q45" i="36"/>
  <c r="I45" i="36"/>
  <c r="AF45" i="36"/>
  <c r="X45" i="36"/>
  <c r="Y45" i="36" s="1"/>
  <c r="P45" i="36"/>
  <c r="H45" i="36"/>
  <c r="AE45" i="36"/>
  <c r="W45" i="36"/>
  <c r="O45" i="36"/>
  <c r="G45" i="36"/>
  <c r="AD45" i="36"/>
  <c r="V45" i="36"/>
  <c r="N45" i="36"/>
  <c r="F45" i="36"/>
  <c r="AC45" i="36"/>
  <c r="U45" i="36"/>
  <c r="J52" i="30" s="1"/>
  <c r="M45" i="36"/>
  <c r="AB45" i="36"/>
  <c r="L45" i="36"/>
  <c r="D45" i="36"/>
  <c r="Z45" i="36"/>
  <c r="R45" i="36"/>
  <c r="J52" i="31" s="1"/>
  <c r="J45" i="36"/>
  <c r="B45" i="36"/>
  <c r="E45" i="36" s="1"/>
  <c r="AA45" i="36"/>
  <c r="S45" i="36"/>
  <c r="T45" i="36" s="1"/>
  <c r="K45" i="36"/>
  <c r="L54" i="28" s="1"/>
  <c r="C45" i="36"/>
  <c r="Q50" i="31"/>
  <c r="P50" i="31"/>
  <c r="O50" i="31"/>
  <c r="N50" i="31"/>
  <c r="M50" i="31"/>
  <c r="L50" i="31"/>
  <c r="AC45" i="37"/>
  <c r="U45" i="37"/>
  <c r="K52" i="30" s="1"/>
  <c r="M45" i="37"/>
  <c r="E45" i="37"/>
  <c r="AB45" i="37"/>
  <c r="L45" i="37"/>
  <c r="D45" i="37"/>
  <c r="AA45" i="37"/>
  <c r="S45" i="37"/>
  <c r="T45" i="37" s="1"/>
  <c r="K45" i="37"/>
  <c r="M54" i="28" s="1"/>
  <c r="C45" i="37"/>
  <c r="X45" i="37"/>
  <c r="Y45" i="37" s="1"/>
  <c r="J45" i="37"/>
  <c r="W45" i="37"/>
  <c r="I45" i="37"/>
  <c r="A46" i="37"/>
  <c r="V45" i="37"/>
  <c r="H45" i="37"/>
  <c r="AF45" i="37"/>
  <c r="R45" i="37"/>
  <c r="K52" i="31" s="1"/>
  <c r="G45" i="37"/>
  <c r="AE45" i="37"/>
  <c r="Q45" i="37"/>
  <c r="Z45" i="37"/>
  <c r="O45" i="37"/>
  <c r="AD45" i="37"/>
  <c r="P45" i="37"/>
  <c r="B45" i="37"/>
  <c r="F45" i="37" s="1"/>
  <c r="N45" i="37"/>
  <c r="F44" i="19"/>
  <c r="J43" i="33"/>
  <c r="I43" i="33"/>
  <c r="E53" i="28"/>
  <c r="E52" i="25"/>
  <c r="D53" i="28"/>
  <c r="E51" i="31"/>
  <c r="E51" i="30"/>
  <c r="D51" i="30"/>
  <c r="D52" i="25"/>
  <c r="D51" i="31"/>
  <c r="AE45" i="19"/>
  <c r="W45" i="19"/>
  <c r="G52" i="31" s="1"/>
  <c r="O45" i="19"/>
  <c r="G45" i="19"/>
  <c r="AD45" i="19"/>
  <c r="L44" i="33" s="1"/>
  <c r="V45" i="19"/>
  <c r="N45" i="19"/>
  <c r="AC45" i="19"/>
  <c r="U45" i="19"/>
  <c r="I52" i="30" s="1"/>
  <c r="M45" i="19"/>
  <c r="E45" i="19"/>
  <c r="AB45" i="19"/>
  <c r="N44" i="33" s="1"/>
  <c r="L45" i="19"/>
  <c r="G54" i="28" s="1"/>
  <c r="D45" i="19"/>
  <c r="I54" i="28" s="1"/>
  <c r="AA45" i="19"/>
  <c r="S45" i="19"/>
  <c r="T45" i="19" s="1"/>
  <c r="K45" i="19"/>
  <c r="K54" i="28" s="1"/>
  <c r="C45" i="19"/>
  <c r="AF45" i="19"/>
  <c r="G53" i="25" s="1"/>
  <c r="X45" i="19"/>
  <c r="Y45" i="19" s="1"/>
  <c r="P45" i="19"/>
  <c r="H45" i="19"/>
  <c r="R45" i="19"/>
  <c r="I52" i="31" s="1"/>
  <c r="Q45" i="19"/>
  <c r="J45" i="19"/>
  <c r="I45" i="19"/>
  <c r="B45" i="19"/>
  <c r="Z45" i="19"/>
  <c r="G52" i="30" s="1"/>
  <c r="A46" i="19"/>
  <c r="AC45" i="11"/>
  <c r="U45" i="11"/>
  <c r="H52" i="30" s="1"/>
  <c r="M45" i="11"/>
  <c r="AB45" i="11"/>
  <c r="M44" i="33" s="1"/>
  <c r="L45" i="11"/>
  <c r="F54" i="28" s="1"/>
  <c r="D45" i="11"/>
  <c r="H54" i="28" s="1"/>
  <c r="AA45" i="11"/>
  <c r="S45" i="11"/>
  <c r="T45" i="11" s="1"/>
  <c r="K45" i="11"/>
  <c r="J54" i="28" s="1"/>
  <c r="C45" i="11"/>
  <c r="Z45" i="11"/>
  <c r="F52" i="30" s="1"/>
  <c r="R45" i="11"/>
  <c r="H52" i="31" s="1"/>
  <c r="J45" i="11"/>
  <c r="B45" i="11"/>
  <c r="A46" i="11"/>
  <c r="Q45" i="11"/>
  <c r="I45" i="11"/>
  <c r="AF45" i="11"/>
  <c r="F53" i="25" s="1"/>
  <c r="X45" i="11"/>
  <c r="Y45" i="11" s="1"/>
  <c r="P45" i="11"/>
  <c r="H45" i="11"/>
  <c r="AD45" i="11"/>
  <c r="K44" i="33" s="1"/>
  <c r="V45" i="11"/>
  <c r="N45" i="11"/>
  <c r="F45" i="11"/>
  <c r="AE45" i="11"/>
  <c r="W45" i="11"/>
  <c r="F52" i="31" s="1"/>
  <c r="O45" i="11"/>
  <c r="G45" i="11"/>
  <c r="E44" i="11"/>
  <c r="H43" i="33"/>
  <c r="C52" i="25"/>
  <c r="C51" i="31"/>
  <c r="C53" i="28"/>
  <c r="C51" i="30"/>
  <c r="AE46" i="19" l="1"/>
  <c r="W46" i="19"/>
  <c r="G53" i="31" s="1"/>
  <c r="O46" i="19"/>
  <c r="G46" i="19"/>
  <c r="AD46" i="19"/>
  <c r="L45" i="33" s="1"/>
  <c r="V46" i="19"/>
  <c r="N46" i="19"/>
  <c r="AC46" i="19"/>
  <c r="U46" i="19"/>
  <c r="I53" i="30" s="1"/>
  <c r="M46" i="19"/>
  <c r="E46" i="19"/>
  <c r="AB46" i="19"/>
  <c r="N45" i="33" s="1"/>
  <c r="L46" i="19"/>
  <c r="G55" i="28" s="1"/>
  <c r="D46" i="19"/>
  <c r="I55" i="28" s="1"/>
  <c r="AA46" i="19"/>
  <c r="S46" i="19"/>
  <c r="T46" i="19" s="1"/>
  <c r="K46" i="19"/>
  <c r="K55" i="28" s="1"/>
  <c r="C46" i="19"/>
  <c r="AF46" i="19"/>
  <c r="G54" i="25" s="1"/>
  <c r="X46" i="19"/>
  <c r="Y46" i="19" s="1"/>
  <c r="P46" i="19"/>
  <c r="H46" i="19"/>
  <c r="R46" i="19"/>
  <c r="I53" i="31" s="1"/>
  <c r="Q46" i="19"/>
  <c r="J46" i="19"/>
  <c r="I46" i="19"/>
  <c r="B46" i="19"/>
  <c r="Z46" i="19"/>
  <c r="G53" i="30" s="1"/>
  <c r="A47" i="19"/>
  <c r="AC46" i="11"/>
  <c r="U46" i="11"/>
  <c r="H53" i="30" s="1"/>
  <c r="M46" i="11"/>
  <c r="AB46" i="11"/>
  <c r="M45" i="33" s="1"/>
  <c r="L46" i="11"/>
  <c r="F55" i="28" s="1"/>
  <c r="D46" i="11"/>
  <c r="H55" i="28" s="1"/>
  <c r="AA46" i="11"/>
  <c r="S46" i="11"/>
  <c r="T46" i="11" s="1"/>
  <c r="K46" i="11"/>
  <c r="J55" i="28" s="1"/>
  <c r="C46" i="11"/>
  <c r="Z46" i="11"/>
  <c r="F53" i="30" s="1"/>
  <c r="R46" i="11"/>
  <c r="H53" i="31" s="1"/>
  <c r="J46" i="11"/>
  <c r="B46" i="11"/>
  <c r="A47" i="11"/>
  <c r="Q46" i="11"/>
  <c r="I46" i="11"/>
  <c r="AF46" i="11"/>
  <c r="F54" i="25" s="1"/>
  <c r="X46" i="11"/>
  <c r="Y46" i="11" s="1"/>
  <c r="P46" i="11"/>
  <c r="H46" i="11"/>
  <c r="AD46" i="11"/>
  <c r="K45" i="33" s="1"/>
  <c r="V46" i="11"/>
  <c r="N46" i="11"/>
  <c r="F46" i="11"/>
  <c r="G46" i="11"/>
  <c r="AE46" i="11"/>
  <c r="W46" i="11"/>
  <c r="F53" i="31" s="1"/>
  <c r="O46" i="11"/>
  <c r="Q51" i="31"/>
  <c r="P51" i="31"/>
  <c r="O51" i="31"/>
  <c r="N51" i="31"/>
  <c r="M51" i="31"/>
  <c r="L51" i="31"/>
  <c r="F45" i="19"/>
  <c r="E53" i="25"/>
  <c r="D53" i="25"/>
  <c r="E54" i="28"/>
  <c r="D54" i="28"/>
  <c r="J44" i="33"/>
  <c r="I44" i="33"/>
  <c r="D52" i="31"/>
  <c r="E52" i="30"/>
  <c r="D52" i="30"/>
  <c r="E52" i="31"/>
  <c r="AC46" i="37"/>
  <c r="U46" i="37"/>
  <c r="K53" i="30" s="1"/>
  <c r="M46" i="37"/>
  <c r="E46" i="37"/>
  <c r="AB46" i="37"/>
  <c r="L46" i="37"/>
  <c r="D46" i="37"/>
  <c r="AA46" i="37"/>
  <c r="S46" i="37"/>
  <c r="T46" i="37" s="1"/>
  <c r="K46" i="37"/>
  <c r="M55" i="28" s="1"/>
  <c r="C46" i="37"/>
  <c r="AE46" i="37"/>
  <c r="Q46" i="37"/>
  <c r="AD46" i="37"/>
  <c r="P46" i="37"/>
  <c r="B46" i="37"/>
  <c r="F46" i="37" s="1"/>
  <c r="Z46" i="37"/>
  <c r="O46" i="37"/>
  <c r="N46" i="37"/>
  <c r="X46" i="37"/>
  <c r="Y46" i="37" s="1"/>
  <c r="J46" i="37"/>
  <c r="A47" i="37"/>
  <c r="V46" i="37"/>
  <c r="H46" i="37"/>
  <c r="R46" i="37"/>
  <c r="K53" i="31" s="1"/>
  <c r="I46" i="37"/>
  <c r="G46" i="37"/>
  <c r="W46" i="37"/>
  <c r="AF46" i="37"/>
  <c r="E45" i="11"/>
  <c r="C53" i="25"/>
  <c r="C54" i="28"/>
  <c r="H44" i="33"/>
  <c r="C52" i="31"/>
  <c r="C52" i="30"/>
  <c r="A47" i="36"/>
  <c r="Q46" i="36"/>
  <c r="I46" i="36"/>
  <c r="AF46" i="36"/>
  <c r="X46" i="36"/>
  <c r="Y46" i="36" s="1"/>
  <c r="P46" i="36"/>
  <c r="H46" i="36"/>
  <c r="AE46" i="36"/>
  <c r="W46" i="36"/>
  <c r="O46" i="36"/>
  <c r="G46" i="36"/>
  <c r="AD46" i="36"/>
  <c r="V46" i="36"/>
  <c r="N46" i="36"/>
  <c r="F46" i="36"/>
  <c r="AC46" i="36"/>
  <c r="U46" i="36"/>
  <c r="J53" i="30" s="1"/>
  <c r="M46" i="36"/>
  <c r="AB46" i="36"/>
  <c r="L46" i="36"/>
  <c r="D46" i="36"/>
  <c r="Z46" i="36"/>
  <c r="R46" i="36"/>
  <c r="J53" i="31" s="1"/>
  <c r="J46" i="36"/>
  <c r="B46" i="36"/>
  <c r="E46" i="36" s="1"/>
  <c r="AA46" i="36"/>
  <c r="S46" i="36"/>
  <c r="T46" i="36" s="1"/>
  <c r="C46" i="36"/>
  <c r="K46" i="36"/>
  <c r="L55" i="28" s="1"/>
  <c r="A48" i="36" l="1"/>
  <c r="Q47" i="36"/>
  <c r="I47" i="36"/>
  <c r="AF47" i="36"/>
  <c r="X47" i="36"/>
  <c r="Y47" i="36" s="1"/>
  <c r="P47" i="36"/>
  <c r="H47" i="36"/>
  <c r="AE47" i="36"/>
  <c r="W47" i="36"/>
  <c r="O47" i="36"/>
  <c r="G47" i="36"/>
  <c r="AD47" i="36"/>
  <c r="V47" i="36"/>
  <c r="N47" i="36"/>
  <c r="F47" i="36"/>
  <c r="AC47" i="36"/>
  <c r="U47" i="36"/>
  <c r="J54" i="30" s="1"/>
  <c r="M47" i="36"/>
  <c r="AB47" i="36"/>
  <c r="L47" i="36"/>
  <c r="D47" i="36"/>
  <c r="Z47" i="36"/>
  <c r="R47" i="36"/>
  <c r="J54" i="31" s="1"/>
  <c r="J47" i="36"/>
  <c r="B47" i="36"/>
  <c r="E47" i="36" s="1"/>
  <c r="AA47" i="36"/>
  <c r="S47" i="36"/>
  <c r="T47" i="36" s="1"/>
  <c r="K47" i="36"/>
  <c r="L56" i="28" s="1"/>
  <c r="C47" i="36"/>
  <c r="AE47" i="19"/>
  <c r="W47" i="19"/>
  <c r="G54" i="31" s="1"/>
  <c r="O47" i="19"/>
  <c r="G47" i="19"/>
  <c r="AD47" i="19"/>
  <c r="L46" i="33" s="1"/>
  <c r="V47" i="19"/>
  <c r="N47" i="19"/>
  <c r="AC47" i="19"/>
  <c r="U47" i="19"/>
  <c r="I54" i="30" s="1"/>
  <c r="M47" i="19"/>
  <c r="E47" i="19"/>
  <c r="AB47" i="19"/>
  <c r="N46" i="33" s="1"/>
  <c r="L47" i="19"/>
  <c r="G56" i="28" s="1"/>
  <c r="D47" i="19"/>
  <c r="I56" i="28" s="1"/>
  <c r="AA47" i="19"/>
  <c r="S47" i="19"/>
  <c r="T47" i="19" s="1"/>
  <c r="K47" i="19"/>
  <c r="K56" i="28" s="1"/>
  <c r="C47" i="19"/>
  <c r="Z47" i="19"/>
  <c r="G54" i="30" s="1"/>
  <c r="AF47" i="19"/>
  <c r="G55" i="25" s="1"/>
  <c r="X47" i="19"/>
  <c r="Y47" i="19" s="1"/>
  <c r="P47" i="19"/>
  <c r="H47" i="19"/>
  <c r="R47" i="19"/>
  <c r="I54" i="31" s="1"/>
  <c r="Q47" i="19"/>
  <c r="J47" i="19"/>
  <c r="I47" i="19"/>
  <c r="B47" i="19"/>
  <c r="A48" i="19"/>
  <c r="AC47" i="11"/>
  <c r="U47" i="11"/>
  <c r="H54" i="30" s="1"/>
  <c r="M47" i="11"/>
  <c r="AB47" i="11"/>
  <c r="M46" i="33" s="1"/>
  <c r="L47" i="11"/>
  <c r="F56" i="28" s="1"/>
  <c r="D47" i="11"/>
  <c r="H56" i="28" s="1"/>
  <c r="AA47" i="11"/>
  <c r="S47" i="11"/>
  <c r="T47" i="11" s="1"/>
  <c r="K47" i="11"/>
  <c r="J56" i="28" s="1"/>
  <c r="C47" i="11"/>
  <c r="Z47" i="11"/>
  <c r="F54" i="30" s="1"/>
  <c r="R47" i="11"/>
  <c r="H54" i="31" s="1"/>
  <c r="J47" i="11"/>
  <c r="B47" i="11"/>
  <c r="A48" i="11"/>
  <c r="Q47" i="11"/>
  <c r="I47" i="11"/>
  <c r="AF47" i="11"/>
  <c r="F55" i="25" s="1"/>
  <c r="X47" i="11"/>
  <c r="Y47" i="11" s="1"/>
  <c r="P47" i="11"/>
  <c r="H47" i="11"/>
  <c r="AD47" i="11"/>
  <c r="K46" i="33" s="1"/>
  <c r="V47" i="11"/>
  <c r="N47" i="11"/>
  <c r="F47" i="11"/>
  <c r="AE47" i="11"/>
  <c r="W47" i="11"/>
  <c r="F54" i="31" s="1"/>
  <c r="O47" i="11"/>
  <c r="G47" i="11"/>
  <c r="L52" i="31"/>
  <c r="Q52" i="31"/>
  <c r="P52" i="31"/>
  <c r="O52" i="31"/>
  <c r="N52" i="31"/>
  <c r="M52" i="31"/>
  <c r="E46" i="11"/>
  <c r="C55" i="28"/>
  <c r="C54" i="25"/>
  <c r="C53" i="30"/>
  <c r="C53" i="31"/>
  <c r="H45" i="33"/>
  <c r="F46" i="19"/>
  <c r="E54" i="25"/>
  <c r="D54" i="25"/>
  <c r="J45" i="33"/>
  <c r="I45" i="33"/>
  <c r="D55" i="28"/>
  <c r="E55" i="28"/>
  <c r="E53" i="30"/>
  <c r="E53" i="31"/>
  <c r="D53" i="30"/>
  <c r="D53" i="31"/>
  <c r="AC47" i="37"/>
  <c r="U47" i="37"/>
  <c r="K54" i="30" s="1"/>
  <c r="M47" i="37"/>
  <c r="E47" i="37"/>
  <c r="AB47" i="37"/>
  <c r="L47" i="37"/>
  <c r="D47" i="37"/>
  <c r="AA47" i="37"/>
  <c r="S47" i="37"/>
  <c r="T47" i="37" s="1"/>
  <c r="K47" i="37"/>
  <c r="M56" i="28" s="1"/>
  <c r="C47" i="37"/>
  <c r="X47" i="37"/>
  <c r="Y47" i="37" s="1"/>
  <c r="J47" i="37"/>
  <c r="W47" i="37"/>
  <c r="I47" i="37"/>
  <c r="A48" i="37"/>
  <c r="V47" i="37"/>
  <c r="H47" i="37"/>
  <c r="AF47" i="37"/>
  <c r="R47" i="37"/>
  <c r="K54" i="31" s="1"/>
  <c r="G47" i="37"/>
  <c r="AE47" i="37"/>
  <c r="Q47" i="37"/>
  <c r="Z47" i="37"/>
  <c r="O47" i="37"/>
  <c r="AD47" i="37"/>
  <c r="P47" i="37"/>
  <c r="N47" i="37"/>
  <c r="B47" i="37"/>
  <c r="F47" i="37" s="1"/>
  <c r="AE48" i="19" l="1"/>
  <c r="W48" i="19"/>
  <c r="G55" i="31" s="1"/>
  <c r="O48" i="19"/>
  <c r="G48" i="19"/>
  <c r="AD48" i="19"/>
  <c r="L47" i="33" s="1"/>
  <c r="V48" i="19"/>
  <c r="N48" i="19"/>
  <c r="AC48" i="19"/>
  <c r="U48" i="19"/>
  <c r="I55" i="30" s="1"/>
  <c r="M48" i="19"/>
  <c r="E48" i="19"/>
  <c r="AB48" i="19"/>
  <c r="N47" i="33" s="1"/>
  <c r="L48" i="19"/>
  <c r="G57" i="28" s="1"/>
  <c r="D48" i="19"/>
  <c r="I57" i="28" s="1"/>
  <c r="AA48" i="19"/>
  <c r="S48" i="19"/>
  <c r="T48" i="19" s="1"/>
  <c r="K48" i="19"/>
  <c r="K57" i="28" s="1"/>
  <c r="C48" i="19"/>
  <c r="Z48" i="19"/>
  <c r="G55" i="30" s="1"/>
  <c r="R48" i="19"/>
  <c r="I55" i="31" s="1"/>
  <c r="J48" i="19"/>
  <c r="B48" i="19"/>
  <c r="AF48" i="19"/>
  <c r="G56" i="25" s="1"/>
  <c r="X48" i="19"/>
  <c r="Y48" i="19" s="1"/>
  <c r="P48" i="19"/>
  <c r="H48" i="19"/>
  <c r="A49" i="19"/>
  <c r="Q48" i="19"/>
  <c r="I48" i="19"/>
  <c r="E47" i="11"/>
  <c r="C55" i="25"/>
  <c r="C56" i="28"/>
  <c r="H46" i="33"/>
  <c r="C54" i="30"/>
  <c r="C54" i="31"/>
  <c r="AC48" i="37"/>
  <c r="U48" i="37"/>
  <c r="K55" i="30" s="1"/>
  <c r="M48" i="37"/>
  <c r="E48" i="37"/>
  <c r="AB48" i="37"/>
  <c r="L48" i="37"/>
  <c r="D48" i="37"/>
  <c r="AA48" i="37"/>
  <c r="S48" i="37"/>
  <c r="T48" i="37" s="1"/>
  <c r="K48" i="37"/>
  <c r="M57" i="28" s="1"/>
  <c r="C48" i="37"/>
  <c r="AF48" i="37"/>
  <c r="R48" i="37"/>
  <c r="K55" i="31" s="1"/>
  <c r="G48" i="37"/>
  <c r="AE48" i="37"/>
  <c r="Q48" i="37"/>
  <c r="AD48" i="37"/>
  <c r="P48" i="37"/>
  <c r="B48" i="37"/>
  <c r="F48" i="37" s="1"/>
  <c r="Z48" i="37"/>
  <c r="O48" i="37"/>
  <c r="N48" i="37"/>
  <c r="X48" i="37"/>
  <c r="Y48" i="37" s="1"/>
  <c r="J48" i="37"/>
  <c r="A49" i="37"/>
  <c r="V48" i="37"/>
  <c r="H48" i="37"/>
  <c r="W48" i="37"/>
  <c r="I48" i="37"/>
  <c r="M53" i="31"/>
  <c r="L53" i="31"/>
  <c r="Q53" i="31"/>
  <c r="P53" i="31"/>
  <c r="O53" i="31"/>
  <c r="N53" i="31"/>
  <c r="AE48" i="11"/>
  <c r="W48" i="11"/>
  <c r="F55" i="31" s="1"/>
  <c r="AD48" i="11"/>
  <c r="K47" i="33" s="1"/>
  <c r="V48" i="11"/>
  <c r="AC48" i="11"/>
  <c r="U48" i="11"/>
  <c r="H55" i="30" s="1"/>
  <c r="AB48" i="11"/>
  <c r="M47" i="33" s="1"/>
  <c r="AA48" i="11"/>
  <c r="S48" i="11"/>
  <c r="T48" i="11" s="1"/>
  <c r="Z48" i="11"/>
  <c r="F55" i="30" s="1"/>
  <c r="AF48" i="11"/>
  <c r="F56" i="25" s="1"/>
  <c r="A49" i="11"/>
  <c r="M48" i="11"/>
  <c r="L48" i="11"/>
  <c r="F57" i="28" s="1"/>
  <c r="D48" i="11"/>
  <c r="H57" i="28" s="1"/>
  <c r="X48" i="11"/>
  <c r="Y48" i="11" s="1"/>
  <c r="K48" i="11"/>
  <c r="J57" i="28" s="1"/>
  <c r="C48" i="11"/>
  <c r="R48" i="11"/>
  <c r="H55" i="31" s="1"/>
  <c r="J48" i="11"/>
  <c r="B48" i="11"/>
  <c r="Q48" i="11"/>
  <c r="I48" i="11"/>
  <c r="P48" i="11"/>
  <c r="H48" i="11"/>
  <c r="N48" i="11"/>
  <c r="F48" i="11"/>
  <c r="G48" i="11"/>
  <c r="O48" i="11"/>
  <c r="F47" i="19"/>
  <c r="E56" i="28"/>
  <c r="D56" i="28"/>
  <c r="J46" i="33"/>
  <c r="D55" i="25"/>
  <c r="D54" i="30"/>
  <c r="E54" i="31"/>
  <c r="I46" i="33"/>
  <c r="D54" i="31"/>
  <c r="E55" i="25"/>
  <c r="E54" i="30"/>
  <c r="A49" i="36"/>
  <c r="Q48" i="36"/>
  <c r="I48" i="36"/>
  <c r="AF48" i="36"/>
  <c r="X48" i="36"/>
  <c r="Y48" i="36" s="1"/>
  <c r="P48" i="36"/>
  <c r="H48" i="36"/>
  <c r="AE48" i="36"/>
  <c r="W48" i="36"/>
  <c r="O48" i="36"/>
  <c r="G48" i="36"/>
  <c r="AD48" i="36"/>
  <c r="V48" i="36"/>
  <c r="N48" i="36"/>
  <c r="F48" i="36"/>
  <c r="AC48" i="36"/>
  <c r="U48" i="36"/>
  <c r="J55" i="30" s="1"/>
  <c r="M48" i="36"/>
  <c r="AB48" i="36"/>
  <c r="L48" i="36"/>
  <c r="D48" i="36"/>
  <c r="Z48" i="36"/>
  <c r="R48" i="36"/>
  <c r="J55" i="31" s="1"/>
  <c r="J48" i="36"/>
  <c r="B48" i="36"/>
  <c r="E48" i="36" s="1"/>
  <c r="AA48" i="36"/>
  <c r="S48" i="36"/>
  <c r="T48" i="36" s="1"/>
  <c r="C48" i="36"/>
  <c r="K48" i="36"/>
  <c r="L57" i="28" s="1"/>
  <c r="A50" i="36" l="1"/>
  <c r="Q49" i="36"/>
  <c r="I49" i="36"/>
  <c r="AF49" i="36"/>
  <c r="X49" i="36"/>
  <c r="Y49" i="36" s="1"/>
  <c r="P49" i="36"/>
  <c r="H49" i="36"/>
  <c r="AE49" i="36"/>
  <c r="W49" i="36"/>
  <c r="O49" i="36"/>
  <c r="G49" i="36"/>
  <c r="AD49" i="36"/>
  <c r="V49" i="36"/>
  <c r="N49" i="36"/>
  <c r="F49" i="36"/>
  <c r="AC49" i="36"/>
  <c r="U49" i="36"/>
  <c r="J56" i="30" s="1"/>
  <c r="M49" i="36"/>
  <c r="AB49" i="36"/>
  <c r="L49" i="36"/>
  <c r="D49" i="36"/>
  <c r="Z49" i="36"/>
  <c r="R49" i="36"/>
  <c r="J56" i="31" s="1"/>
  <c r="J49" i="36"/>
  <c r="B49" i="36"/>
  <c r="E49" i="36" s="1"/>
  <c r="AA49" i="36"/>
  <c r="S49" i="36"/>
  <c r="T49" i="36" s="1"/>
  <c r="K49" i="36"/>
  <c r="L58" i="28" s="1"/>
  <c r="C49" i="36"/>
  <c r="F48" i="19"/>
  <c r="E57" i="28"/>
  <c r="E56" i="25"/>
  <c r="D57" i="28"/>
  <c r="D56" i="25"/>
  <c r="I47" i="33"/>
  <c r="J47" i="33"/>
  <c r="E55" i="31"/>
  <c r="D55" i="31"/>
  <c r="E55" i="30"/>
  <c r="D55" i="30"/>
  <c r="E48" i="11"/>
  <c r="H47" i="33"/>
  <c r="C57" i="28"/>
  <c r="C56" i="25"/>
  <c r="C55" i="30"/>
  <c r="C55" i="31"/>
  <c r="AE49" i="19"/>
  <c r="W49" i="19"/>
  <c r="G56" i="31" s="1"/>
  <c r="O49" i="19"/>
  <c r="G49" i="19"/>
  <c r="AD49" i="19"/>
  <c r="L48" i="33" s="1"/>
  <c r="V49" i="19"/>
  <c r="N49" i="19"/>
  <c r="AC49" i="19"/>
  <c r="U49" i="19"/>
  <c r="I56" i="30" s="1"/>
  <c r="M49" i="19"/>
  <c r="E49" i="19"/>
  <c r="AB49" i="19"/>
  <c r="N48" i="33" s="1"/>
  <c r="L49" i="19"/>
  <c r="G58" i="28" s="1"/>
  <c r="D49" i="19"/>
  <c r="I58" i="28" s="1"/>
  <c r="AA49" i="19"/>
  <c r="S49" i="19"/>
  <c r="T49" i="19" s="1"/>
  <c r="K49" i="19"/>
  <c r="K58" i="28" s="1"/>
  <c r="C49" i="19"/>
  <c r="Z49" i="19"/>
  <c r="G56" i="30" s="1"/>
  <c r="R49" i="19"/>
  <c r="I56" i="31" s="1"/>
  <c r="J49" i="19"/>
  <c r="B49" i="19"/>
  <c r="AF49" i="19"/>
  <c r="G57" i="25" s="1"/>
  <c r="X49" i="19"/>
  <c r="Y49" i="19" s="1"/>
  <c r="P49" i="19"/>
  <c r="H49" i="19"/>
  <c r="Q49" i="19"/>
  <c r="I49" i="19"/>
  <c r="A50" i="19"/>
  <c r="AC49" i="37"/>
  <c r="U49" i="37"/>
  <c r="K56" i="30" s="1"/>
  <c r="M49" i="37"/>
  <c r="E49" i="37"/>
  <c r="AB49" i="37"/>
  <c r="L49" i="37"/>
  <c r="D49" i="37"/>
  <c r="AA49" i="37"/>
  <c r="S49" i="37"/>
  <c r="T49" i="37" s="1"/>
  <c r="K49" i="37"/>
  <c r="M58" i="28" s="1"/>
  <c r="C49" i="37"/>
  <c r="N49" i="37"/>
  <c r="X49" i="37"/>
  <c r="Y49" i="37" s="1"/>
  <c r="J49" i="37"/>
  <c r="W49" i="37"/>
  <c r="I49" i="37"/>
  <c r="A50" i="37"/>
  <c r="V49" i="37"/>
  <c r="H49" i="37"/>
  <c r="AF49" i="37"/>
  <c r="R49" i="37"/>
  <c r="K56" i="31" s="1"/>
  <c r="G49" i="37"/>
  <c r="AE49" i="37"/>
  <c r="Q49" i="37"/>
  <c r="Z49" i="37"/>
  <c r="O49" i="37"/>
  <c r="AD49" i="37"/>
  <c r="B49" i="37"/>
  <c r="F49" i="37" s="1"/>
  <c r="P49" i="37"/>
  <c r="N54" i="31"/>
  <c r="M54" i="31"/>
  <c r="L54" i="31"/>
  <c r="Q54" i="31"/>
  <c r="P54" i="31"/>
  <c r="O54" i="31"/>
  <c r="AE49" i="11"/>
  <c r="W49" i="11"/>
  <c r="F56" i="31" s="1"/>
  <c r="O49" i="11"/>
  <c r="G49" i="11"/>
  <c r="AD49" i="11"/>
  <c r="K48" i="33" s="1"/>
  <c r="V49" i="11"/>
  <c r="N49" i="11"/>
  <c r="F49" i="11"/>
  <c r="AC49" i="11"/>
  <c r="U49" i="11"/>
  <c r="H56" i="30" s="1"/>
  <c r="M49" i="11"/>
  <c r="AB49" i="11"/>
  <c r="M48" i="33" s="1"/>
  <c r="L49" i="11"/>
  <c r="F58" i="28" s="1"/>
  <c r="D49" i="11"/>
  <c r="H58" i="28" s="1"/>
  <c r="AA49" i="11"/>
  <c r="S49" i="11"/>
  <c r="T49" i="11" s="1"/>
  <c r="K49" i="11"/>
  <c r="J58" i="28" s="1"/>
  <c r="C49" i="11"/>
  <c r="Z49" i="11"/>
  <c r="F56" i="30" s="1"/>
  <c r="R49" i="11"/>
  <c r="H56" i="31" s="1"/>
  <c r="J49" i="11"/>
  <c r="B49" i="11"/>
  <c r="AF49" i="11"/>
  <c r="F57" i="25" s="1"/>
  <c r="X49" i="11"/>
  <c r="Y49" i="11" s="1"/>
  <c r="P49" i="11"/>
  <c r="H49" i="11"/>
  <c r="A50" i="11"/>
  <c r="I49" i="11"/>
  <c r="Q49" i="11"/>
  <c r="O55" i="31" l="1"/>
  <c r="N55" i="31"/>
  <c r="M55" i="31"/>
  <c r="L55" i="31"/>
  <c r="Q55" i="31"/>
  <c r="P55" i="31"/>
  <c r="E49" i="11"/>
  <c r="H48" i="33"/>
  <c r="C58" i="28"/>
  <c r="C57" i="25"/>
  <c r="C56" i="31"/>
  <c r="C56" i="30"/>
  <c r="AC50" i="37"/>
  <c r="U50" i="37"/>
  <c r="K57" i="30" s="1"/>
  <c r="M50" i="37"/>
  <c r="E50" i="37"/>
  <c r="AB50" i="37"/>
  <c r="L50" i="37"/>
  <c r="D50" i="37"/>
  <c r="AA50" i="37"/>
  <c r="S50" i="37"/>
  <c r="T50" i="37" s="1"/>
  <c r="K50" i="37"/>
  <c r="M59" i="28" s="1"/>
  <c r="C50" i="37"/>
  <c r="AF50" i="37"/>
  <c r="R50" i="37"/>
  <c r="K57" i="31" s="1"/>
  <c r="G50" i="37"/>
  <c r="AE50" i="37"/>
  <c r="Q50" i="37"/>
  <c r="AD50" i="37"/>
  <c r="P50" i="37"/>
  <c r="B50" i="37"/>
  <c r="F50" i="37" s="1"/>
  <c r="Z50" i="37"/>
  <c r="O50" i="37"/>
  <c r="N50" i="37"/>
  <c r="X50" i="37"/>
  <c r="Y50" i="37" s="1"/>
  <c r="J50" i="37"/>
  <c r="A51" i="37"/>
  <c r="V50" i="37"/>
  <c r="H50" i="37"/>
  <c r="W50" i="37"/>
  <c r="I50" i="37"/>
  <c r="F49" i="19"/>
  <c r="I48" i="33"/>
  <c r="E57" i="25"/>
  <c r="D57" i="25"/>
  <c r="E58" i="28"/>
  <c r="J48" i="33"/>
  <c r="E56" i="31"/>
  <c r="D58" i="28"/>
  <c r="D56" i="31"/>
  <c r="E56" i="30"/>
  <c r="D56" i="30"/>
  <c r="AE50" i="19"/>
  <c r="W50" i="19"/>
  <c r="G57" i="31" s="1"/>
  <c r="O50" i="19"/>
  <c r="G50" i="19"/>
  <c r="AD50" i="19"/>
  <c r="L49" i="33" s="1"/>
  <c r="V50" i="19"/>
  <c r="N50" i="19"/>
  <c r="AC50" i="19"/>
  <c r="U50" i="19"/>
  <c r="I57" i="30" s="1"/>
  <c r="M50" i="19"/>
  <c r="E50" i="19"/>
  <c r="AB50" i="19"/>
  <c r="N49" i="33" s="1"/>
  <c r="L50" i="19"/>
  <c r="G59" i="28" s="1"/>
  <c r="D50" i="19"/>
  <c r="I59" i="28" s="1"/>
  <c r="AA50" i="19"/>
  <c r="S50" i="19"/>
  <c r="T50" i="19" s="1"/>
  <c r="K50" i="19"/>
  <c r="K59" i="28" s="1"/>
  <c r="C50" i="19"/>
  <c r="Z50" i="19"/>
  <c r="G57" i="30" s="1"/>
  <c r="R50" i="19"/>
  <c r="I57" i="31" s="1"/>
  <c r="J50" i="19"/>
  <c r="B50" i="19"/>
  <c r="AF50" i="19"/>
  <c r="G58" i="25" s="1"/>
  <c r="X50" i="19"/>
  <c r="Y50" i="19" s="1"/>
  <c r="P50" i="19"/>
  <c r="H50" i="19"/>
  <c r="A51" i="19"/>
  <c r="Q50" i="19"/>
  <c r="I50" i="19"/>
  <c r="AE50" i="11"/>
  <c r="W50" i="11"/>
  <c r="F57" i="31" s="1"/>
  <c r="O50" i="11"/>
  <c r="G50" i="11"/>
  <c r="AD50" i="11"/>
  <c r="K49" i="33" s="1"/>
  <c r="V50" i="11"/>
  <c r="N50" i="11"/>
  <c r="F50" i="11"/>
  <c r="AC50" i="11"/>
  <c r="U50" i="11"/>
  <c r="H57" i="30" s="1"/>
  <c r="M50" i="11"/>
  <c r="AB50" i="11"/>
  <c r="M49" i="33" s="1"/>
  <c r="L50" i="11"/>
  <c r="F59" i="28" s="1"/>
  <c r="D50" i="11"/>
  <c r="H59" i="28" s="1"/>
  <c r="AA50" i="11"/>
  <c r="S50" i="11"/>
  <c r="T50" i="11" s="1"/>
  <c r="K50" i="11"/>
  <c r="J59" i="28" s="1"/>
  <c r="C50" i="11"/>
  <c r="Z50" i="11"/>
  <c r="F57" i="30" s="1"/>
  <c r="R50" i="11"/>
  <c r="H57" i="31" s="1"/>
  <c r="J50" i="11"/>
  <c r="B50" i="11"/>
  <c r="AF50" i="11"/>
  <c r="F58" i="25" s="1"/>
  <c r="X50" i="11"/>
  <c r="Y50" i="11" s="1"/>
  <c r="P50" i="11"/>
  <c r="H50" i="11"/>
  <c r="A51" i="11"/>
  <c r="Q50" i="11"/>
  <c r="I50" i="11"/>
  <c r="A51" i="36"/>
  <c r="Q50" i="36"/>
  <c r="I50" i="36"/>
  <c r="AF50" i="36"/>
  <c r="X50" i="36"/>
  <c r="Y50" i="36" s="1"/>
  <c r="P50" i="36"/>
  <c r="H50" i="36"/>
  <c r="AE50" i="36"/>
  <c r="W50" i="36"/>
  <c r="O50" i="36"/>
  <c r="G50" i="36"/>
  <c r="AD50" i="36"/>
  <c r="V50" i="36"/>
  <c r="N50" i="36"/>
  <c r="F50" i="36"/>
  <c r="AC50" i="36"/>
  <c r="U50" i="36"/>
  <c r="J57" i="30" s="1"/>
  <c r="M50" i="36"/>
  <c r="AB50" i="36"/>
  <c r="L50" i="36"/>
  <c r="D50" i="36"/>
  <c r="Z50" i="36"/>
  <c r="R50" i="36"/>
  <c r="J57" i="31" s="1"/>
  <c r="J50" i="36"/>
  <c r="B50" i="36"/>
  <c r="E50" i="36" s="1"/>
  <c r="AA50" i="36"/>
  <c r="S50" i="36"/>
  <c r="T50" i="36" s="1"/>
  <c r="C50" i="36"/>
  <c r="K50" i="36"/>
  <c r="L59" i="28" s="1"/>
  <c r="P56" i="31" l="1"/>
  <c r="O56" i="31"/>
  <c r="N56" i="31"/>
  <c r="M56" i="31"/>
  <c r="L56" i="31"/>
  <c r="Q56" i="31"/>
  <c r="E50" i="11"/>
  <c r="C58" i="25"/>
  <c r="H49" i="33"/>
  <c r="C59" i="28"/>
  <c r="C57" i="30"/>
  <c r="C57" i="31"/>
  <c r="AE51" i="19"/>
  <c r="W51" i="19"/>
  <c r="G58" i="31" s="1"/>
  <c r="O51" i="19"/>
  <c r="G51" i="19"/>
  <c r="AD51" i="19"/>
  <c r="L50" i="33" s="1"/>
  <c r="V51" i="19"/>
  <c r="N51" i="19"/>
  <c r="AC51" i="19"/>
  <c r="U51" i="19"/>
  <c r="I58" i="30" s="1"/>
  <c r="M51" i="19"/>
  <c r="E51" i="19"/>
  <c r="AB51" i="19"/>
  <c r="N50" i="33" s="1"/>
  <c r="L51" i="19"/>
  <c r="G60" i="28" s="1"/>
  <c r="D51" i="19"/>
  <c r="I60" i="28" s="1"/>
  <c r="AA51" i="19"/>
  <c r="S51" i="19"/>
  <c r="T51" i="19" s="1"/>
  <c r="K51" i="19"/>
  <c r="K60" i="28" s="1"/>
  <c r="C51" i="19"/>
  <c r="Z51" i="19"/>
  <c r="G58" i="30" s="1"/>
  <c r="R51" i="19"/>
  <c r="I58" i="31" s="1"/>
  <c r="J51" i="19"/>
  <c r="B51" i="19"/>
  <c r="AF51" i="19"/>
  <c r="G59" i="25" s="1"/>
  <c r="X51" i="19"/>
  <c r="Y51" i="19" s="1"/>
  <c r="P51" i="19"/>
  <c r="H51" i="19"/>
  <c r="Q51" i="19"/>
  <c r="I51" i="19"/>
  <c r="A52" i="19"/>
  <c r="AC51" i="37"/>
  <c r="U51" i="37"/>
  <c r="K58" i="30" s="1"/>
  <c r="M51" i="37"/>
  <c r="E51" i="37"/>
  <c r="AB51" i="37"/>
  <c r="L51" i="37"/>
  <c r="D51" i="37"/>
  <c r="AA51" i="37"/>
  <c r="S51" i="37"/>
  <c r="T51" i="37" s="1"/>
  <c r="K51" i="37"/>
  <c r="M60" i="28" s="1"/>
  <c r="C51" i="37"/>
  <c r="N51" i="37"/>
  <c r="X51" i="37"/>
  <c r="Y51" i="37" s="1"/>
  <c r="J51" i="37"/>
  <c r="W51" i="37"/>
  <c r="I51" i="37"/>
  <c r="A52" i="37"/>
  <c r="V51" i="37"/>
  <c r="H51" i="37"/>
  <c r="AF51" i="37"/>
  <c r="R51" i="37"/>
  <c r="K58" i="31" s="1"/>
  <c r="G51" i="37"/>
  <c r="AE51" i="37"/>
  <c r="Q51" i="37"/>
  <c r="Z51" i="37"/>
  <c r="O51" i="37"/>
  <c r="AD51" i="37"/>
  <c r="P51" i="37"/>
  <c r="B51" i="37"/>
  <c r="F51" i="37" s="1"/>
  <c r="AE51" i="11"/>
  <c r="W51" i="11"/>
  <c r="F58" i="31" s="1"/>
  <c r="O51" i="11"/>
  <c r="G51" i="11"/>
  <c r="AD51" i="11"/>
  <c r="K50" i="33" s="1"/>
  <c r="V51" i="11"/>
  <c r="N51" i="11"/>
  <c r="F51" i="11"/>
  <c r="AC51" i="11"/>
  <c r="U51" i="11"/>
  <c r="H58" i="30" s="1"/>
  <c r="M51" i="11"/>
  <c r="AB51" i="11"/>
  <c r="M50" i="33" s="1"/>
  <c r="L51" i="11"/>
  <c r="F60" i="28" s="1"/>
  <c r="D51" i="11"/>
  <c r="H60" i="28" s="1"/>
  <c r="AA51" i="11"/>
  <c r="S51" i="11"/>
  <c r="T51" i="11" s="1"/>
  <c r="K51" i="11"/>
  <c r="J60" i="28" s="1"/>
  <c r="C51" i="11"/>
  <c r="Z51" i="11"/>
  <c r="F58" i="30" s="1"/>
  <c r="R51" i="11"/>
  <c r="H58" i="31" s="1"/>
  <c r="J51" i="11"/>
  <c r="B51" i="11"/>
  <c r="AF51" i="11"/>
  <c r="F59" i="25" s="1"/>
  <c r="X51" i="11"/>
  <c r="Y51" i="11" s="1"/>
  <c r="P51" i="11"/>
  <c r="H51" i="11"/>
  <c r="A52" i="11"/>
  <c r="I51" i="11"/>
  <c r="Q51" i="11"/>
  <c r="A52" i="36"/>
  <c r="Q51" i="36"/>
  <c r="I51" i="36"/>
  <c r="AF51" i="36"/>
  <c r="X51" i="36"/>
  <c r="Y51" i="36" s="1"/>
  <c r="P51" i="36"/>
  <c r="H51" i="36"/>
  <c r="AE51" i="36"/>
  <c r="W51" i="36"/>
  <c r="O51" i="36"/>
  <c r="G51" i="36"/>
  <c r="AD51" i="36"/>
  <c r="V51" i="36"/>
  <c r="N51" i="36"/>
  <c r="F51" i="36"/>
  <c r="AC51" i="36"/>
  <c r="U51" i="36"/>
  <c r="J58" i="30" s="1"/>
  <c r="M51" i="36"/>
  <c r="AB51" i="36"/>
  <c r="L51" i="36"/>
  <c r="D51" i="36"/>
  <c r="Z51" i="36"/>
  <c r="R51" i="36"/>
  <c r="J58" i="31" s="1"/>
  <c r="J51" i="36"/>
  <c r="B51" i="36"/>
  <c r="E51" i="36" s="1"/>
  <c r="AA51" i="36"/>
  <c r="S51" i="36"/>
  <c r="T51" i="36" s="1"/>
  <c r="K51" i="36"/>
  <c r="L60" i="28" s="1"/>
  <c r="C51" i="36"/>
  <c r="F50" i="19"/>
  <c r="D58" i="25"/>
  <c r="J49" i="33"/>
  <c r="I49" i="33"/>
  <c r="E59" i="28"/>
  <c r="D59" i="28"/>
  <c r="E58" i="25"/>
  <c r="E57" i="30"/>
  <c r="E57" i="31"/>
  <c r="D57" i="30"/>
  <c r="D57" i="31"/>
  <c r="A53" i="36" l="1"/>
  <c r="Q52" i="36"/>
  <c r="I52" i="36"/>
  <c r="AF52" i="36"/>
  <c r="X52" i="36"/>
  <c r="Y52" i="36" s="1"/>
  <c r="P52" i="36"/>
  <c r="H52" i="36"/>
  <c r="AE52" i="36"/>
  <c r="W52" i="36"/>
  <c r="O52" i="36"/>
  <c r="G52" i="36"/>
  <c r="AD52" i="36"/>
  <c r="V52" i="36"/>
  <c r="N52" i="36"/>
  <c r="F52" i="36"/>
  <c r="AC52" i="36"/>
  <c r="U52" i="36"/>
  <c r="J59" i="30" s="1"/>
  <c r="M52" i="36"/>
  <c r="AB52" i="36"/>
  <c r="L52" i="36"/>
  <c r="D52" i="36"/>
  <c r="Z52" i="36"/>
  <c r="R52" i="36"/>
  <c r="J59" i="31" s="1"/>
  <c r="J52" i="36"/>
  <c r="B52" i="36"/>
  <c r="E52" i="36" s="1"/>
  <c r="AA52" i="36"/>
  <c r="S52" i="36"/>
  <c r="T52" i="36" s="1"/>
  <c r="C52" i="36"/>
  <c r="K52" i="36"/>
  <c r="L61" i="28" s="1"/>
  <c r="E51" i="11"/>
  <c r="C60" i="28"/>
  <c r="H50" i="33"/>
  <c r="C59" i="25"/>
  <c r="C58" i="30"/>
  <c r="C58" i="31"/>
  <c r="AC52" i="37"/>
  <c r="U52" i="37"/>
  <c r="K59" i="30" s="1"/>
  <c r="M52" i="37"/>
  <c r="E52" i="37"/>
  <c r="AB52" i="37"/>
  <c r="L52" i="37"/>
  <c r="D52" i="37"/>
  <c r="AA52" i="37"/>
  <c r="S52" i="37"/>
  <c r="T52" i="37" s="1"/>
  <c r="K52" i="37"/>
  <c r="M61" i="28" s="1"/>
  <c r="C52" i="37"/>
  <c r="AF52" i="37"/>
  <c r="R52" i="37"/>
  <c r="K59" i="31" s="1"/>
  <c r="G52" i="37"/>
  <c r="AE52" i="37"/>
  <c r="Q52" i="37"/>
  <c r="AD52" i="37"/>
  <c r="P52" i="37"/>
  <c r="B52" i="37"/>
  <c r="F52" i="37" s="1"/>
  <c r="Z52" i="37"/>
  <c r="O52" i="37"/>
  <c r="N52" i="37"/>
  <c r="X52" i="37"/>
  <c r="Y52" i="37" s="1"/>
  <c r="J52" i="37"/>
  <c r="A53" i="37"/>
  <c r="V52" i="37"/>
  <c r="H52" i="37"/>
  <c r="I52" i="37"/>
  <c r="W52" i="37"/>
  <c r="F51" i="19"/>
  <c r="D60" i="28"/>
  <c r="J50" i="33"/>
  <c r="E59" i="25"/>
  <c r="I50" i="33"/>
  <c r="D59" i="25"/>
  <c r="E60" i="28"/>
  <c r="E58" i="30"/>
  <c r="D58" i="30"/>
  <c r="E58" i="31"/>
  <c r="D58" i="31"/>
  <c r="Q57" i="31"/>
  <c r="P57" i="31"/>
  <c r="O57" i="31"/>
  <c r="N57" i="31"/>
  <c r="M57" i="31"/>
  <c r="L57" i="31"/>
  <c r="AE52" i="11"/>
  <c r="W52" i="11"/>
  <c r="F59" i="31" s="1"/>
  <c r="O52" i="11"/>
  <c r="G52" i="11"/>
  <c r="AD52" i="11"/>
  <c r="K51" i="33" s="1"/>
  <c r="V52" i="11"/>
  <c r="N52" i="11"/>
  <c r="F52" i="11"/>
  <c r="AC52" i="11"/>
  <c r="U52" i="11"/>
  <c r="H59" i="30" s="1"/>
  <c r="M52" i="11"/>
  <c r="AB52" i="11"/>
  <c r="M51" i="33" s="1"/>
  <c r="L52" i="11"/>
  <c r="F61" i="28" s="1"/>
  <c r="D52" i="11"/>
  <c r="H61" i="28" s="1"/>
  <c r="AA52" i="11"/>
  <c r="S52" i="11"/>
  <c r="T52" i="11" s="1"/>
  <c r="K52" i="11"/>
  <c r="J61" i="28" s="1"/>
  <c r="C52" i="11"/>
  <c r="Z52" i="11"/>
  <c r="F59" i="30" s="1"/>
  <c r="R52" i="11"/>
  <c r="H59" i="31" s="1"/>
  <c r="J52" i="11"/>
  <c r="B52" i="11"/>
  <c r="AF52" i="11"/>
  <c r="F60" i="25" s="1"/>
  <c r="X52" i="11"/>
  <c r="Y52" i="11" s="1"/>
  <c r="P52" i="11"/>
  <c r="H52" i="11"/>
  <c r="A53" i="11"/>
  <c r="Q52" i="11"/>
  <c r="I52" i="11"/>
  <c r="AE52" i="19"/>
  <c r="W52" i="19"/>
  <c r="G59" i="31" s="1"/>
  <c r="O52" i="19"/>
  <c r="G52" i="19"/>
  <c r="AD52" i="19"/>
  <c r="L51" i="33" s="1"/>
  <c r="V52" i="19"/>
  <c r="N52" i="19"/>
  <c r="AC52" i="19"/>
  <c r="U52" i="19"/>
  <c r="I59" i="30" s="1"/>
  <c r="M52" i="19"/>
  <c r="E52" i="19"/>
  <c r="AB52" i="19"/>
  <c r="N51" i="33" s="1"/>
  <c r="L52" i="19"/>
  <c r="G61" i="28" s="1"/>
  <c r="D52" i="19"/>
  <c r="I61" i="28" s="1"/>
  <c r="AA52" i="19"/>
  <c r="S52" i="19"/>
  <c r="T52" i="19" s="1"/>
  <c r="K52" i="19"/>
  <c r="K61" i="28" s="1"/>
  <c r="C52" i="19"/>
  <c r="Z52" i="19"/>
  <c r="G59" i="30" s="1"/>
  <c r="R52" i="19"/>
  <c r="I59" i="31" s="1"/>
  <c r="J52" i="19"/>
  <c r="B52" i="19"/>
  <c r="AF52" i="19"/>
  <c r="G60" i="25" s="1"/>
  <c r="X52" i="19"/>
  <c r="Y52" i="19" s="1"/>
  <c r="P52" i="19"/>
  <c r="H52" i="19"/>
  <c r="A53" i="19"/>
  <c r="Q52" i="19"/>
  <c r="I52" i="19"/>
  <c r="E52" i="11" l="1"/>
  <c r="H51" i="33"/>
  <c r="C59" i="30"/>
  <c r="C60" i="25"/>
  <c r="C61" i="28"/>
  <c r="C59" i="31"/>
  <c r="F52" i="19"/>
  <c r="J51" i="33"/>
  <c r="I51" i="33"/>
  <c r="E59" i="30"/>
  <c r="E61" i="28"/>
  <c r="E60" i="25"/>
  <c r="D61" i="28"/>
  <c r="D60" i="25"/>
  <c r="D59" i="30"/>
  <c r="E59" i="31"/>
  <c r="D59" i="31"/>
  <c r="AE53" i="11"/>
  <c r="W53" i="11"/>
  <c r="F60" i="31" s="1"/>
  <c r="O53" i="11"/>
  <c r="G53" i="11"/>
  <c r="AD53" i="11"/>
  <c r="K52" i="33" s="1"/>
  <c r="V53" i="11"/>
  <c r="N53" i="11"/>
  <c r="F53" i="11"/>
  <c r="AC53" i="11"/>
  <c r="U53" i="11"/>
  <c r="H60" i="30" s="1"/>
  <c r="M53" i="11"/>
  <c r="AB53" i="11"/>
  <c r="M52" i="33" s="1"/>
  <c r="L53" i="11"/>
  <c r="F62" i="28" s="1"/>
  <c r="D53" i="11"/>
  <c r="H62" i="28" s="1"/>
  <c r="AA53" i="11"/>
  <c r="S53" i="11"/>
  <c r="T53" i="11" s="1"/>
  <c r="K53" i="11"/>
  <c r="J62" i="28" s="1"/>
  <c r="C53" i="11"/>
  <c r="Z53" i="11"/>
  <c r="F60" i="30" s="1"/>
  <c r="R53" i="11"/>
  <c r="H60" i="31" s="1"/>
  <c r="J53" i="11"/>
  <c r="B53" i="11"/>
  <c r="AF53" i="11"/>
  <c r="F61" i="25" s="1"/>
  <c r="X53" i="11"/>
  <c r="Y53" i="11" s="1"/>
  <c r="P53" i="11"/>
  <c r="H53" i="11"/>
  <c r="A54" i="11"/>
  <c r="I53" i="11"/>
  <c r="Q53" i="11"/>
  <c r="AC53" i="37"/>
  <c r="U53" i="37"/>
  <c r="K60" i="30" s="1"/>
  <c r="M53" i="37"/>
  <c r="E53" i="37"/>
  <c r="AB53" i="37"/>
  <c r="L53" i="37"/>
  <c r="D53" i="37"/>
  <c r="AA53" i="37"/>
  <c r="S53" i="37"/>
  <c r="T53" i="37" s="1"/>
  <c r="K53" i="37"/>
  <c r="M62" i="28" s="1"/>
  <c r="C53" i="37"/>
  <c r="N53" i="37"/>
  <c r="X53" i="37"/>
  <c r="Y53" i="37" s="1"/>
  <c r="J53" i="37"/>
  <c r="W53" i="37"/>
  <c r="I53" i="37"/>
  <c r="A54" i="37"/>
  <c r="V53" i="37"/>
  <c r="H53" i="37"/>
  <c r="AF53" i="37"/>
  <c r="R53" i="37"/>
  <c r="K60" i="31" s="1"/>
  <c r="G53" i="37"/>
  <c r="AE53" i="37"/>
  <c r="Q53" i="37"/>
  <c r="Z53" i="37"/>
  <c r="O53" i="37"/>
  <c r="AD53" i="37"/>
  <c r="P53" i="37"/>
  <c r="B53" i="37"/>
  <c r="F53" i="37" s="1"/>
  <c r="Q58" i="31"/>
  <c r="P58" i="31"/>
  <c r="O58" i="31"/>
  <c r="N58" i="31"/>
  <c r="M58" i="31"/>
  <c r="L58" i="31"/>
  <c r="AE53" i="19"/>
  <c r="W53" i="19"/>
  <c r="G60" i="31" s="1"/>
  <c r="O53" i="19"/>
  <c r="G53" i="19"/>
  <c r="AD53" i="19"/>
  <c r="L52" i="33" s="1"/>
  <c r="V53" i="19"/>
  <c r="N53" i="19"/>
  <c r="AC53" i="19"/>
  <c r="U53" i="19"/>
  <c r="I60" i="30" s="1"/>
  <c r="M53" i="19"/>
  <c r="E53" i="19"/>
  <c r="AB53" i="19"/>
  <c r="N52" i="33" s="1"/>
  <c r="L53" i="19"/>
  <c r="G62" i="28" s="1"/>
  <c r="D53" i="19"/>
  <c r="I62" i="28" s="1"/>
  <c r="AA53" i="19"/>
  <c r="S53" i="19"/>
  <c r="T53" i="19" s="1"/>
  <c r="K53" i="19"/>
  <c r="K62" i="28" s="1"/>
  <c r="C53" i="19"/>
  <c r="Z53" i="19"/>
  <c r="G60" i="30" s="1"/>
  <c r="R53" i="19"/>
  <c r="I60" i="31" s="1"/>
  <c r="J53" i="19"/>
  <c r="B53" i="19"/>
  <c r="AF53" i="19"/>
  <c r="G61" i="25" s="1"/>
  <c r="X53" i="19"/>
  <c r="Y53" i="19" s="1"/>
  <c r="P53" i="19"/>
  <c r="H53" i="19"/>
  <c r="Q53" i="19"/>
  <c r="I53" i="19"/>
  <c r="A54" i="19"/>
  <c r="A54" i="36"/>
  <c r="Q53" i="36"/>
  <c r="I53" i="36"/>
  <c r="AF53" i="36"/>
  <c r="X53" i="36"/>
  <c r="Y53" i="36" s="1"/>
  <c r="P53" i="36"/>
  <c r="H53" i="36"/>
  <c r="AE53" i="36"/>
  <c r="W53" i="36"/>
  <c r="O53" i="36"/>
  <c r="G53" i="36"/>
  <c r="AD53" i="36"/>
  <c r="V53" i="36"/>
  <c r="N53" i="36"/>
  <c r="F53" i="36"/>
  <c r="AC53" i="36"/>
  <c r="U53" i="36"/>
  <c r="J60" i="30" s="1"/>
  <c r="M53" i="36"/>
  <c r="AB53" i="36"/>
  <c r="L53" i="36"/>
  <c r="D53" i="36"/>
  <c r="Z53" i="36"/>
  <c r="R53" i="36"/>
  <c r="J60" i="31" s="1"/>
  <c r="J53" i="36"/>
  <c r="B53" i="36"/>
  <c r="E53" i="36" s="1"/>
  <c r="AA53" i="36"/>
  <c r="S53" i="36"/>
  <c r="T53" i="36" s="1"/>
  <c r="K53" i="36"/>
  <c r="L62" i="28" s="1"/>
  <c r="C53" i="36"/>
  <c r="A55" i="36" l="1"/>
  <c r="Q54" i="36"/>
  <c r="I54" i="36"/>
  <c r="AF54" i="36"/>
  <c r="X54" i="36"/>
  <c r="Y54" i="36" s="1"/>
  <c r="P54" i="36"/>
  <c r="H54" i="36"/>
  <c r="AE54" i="36"/>
  <c r="W54" i="36"/>
  <c r="O54" i="36"/>
  <c r="G54" i="36"/>
  <c r="AD54" i="36"/>
  <c r="V54" i="36"/>
  <c r="N54" i="36"/>
  <c r="F54" i="36"/>
  <c r="AC54" i="36"/>
  <c r="U54" i="36"/>
  <c r="J61" i="30" s="1"/>
  <c r="M54" i="36"/>
  <c r="AB54" i="36"/>
  <c r="L54" i="36"/>
  <c r="D54" i="36"/>
  <c r="Z54" i="36"/>
  <c r="R54" i="36"/>
  <c r="J61" i="31" s="1"/>
  <c r="J54" i="36"/>
  <c r="B54" i="36"/>
  <c r="E54" i="36" s="1"/>
  <c r="AA54" i="36"/>
  <c r="S54" i="36"/>
  <c r="T54" i="36" s="1"/>
  <c r="C54" i="36"/>
  <c r="K54" i="36"/>
  <c r="L63" i="28" s="1"/>
  <c r="AC54" i="37"/>
  <c r="U54" i="37"/>
  <c r="K61" i="30" s="1"/>
  <c r="M54" i="37"/>
  <c r="E54" i="37"/>
  <c r="AB54" i="37"/>
  <c r="L54" i="37"/>
  <c r="D54" i="37"/>
  <c r="AA54" i="37"/>
  <c r="S54" i="37"/>
  <c r="T54" i="37" s="1"/>
  <c r="K54" i="37"/>
  <c r="M63" i="28" s="1"/>
  <c r="C54" i="37"/>
  <c r="AF54" i="37"/>
  <c r="R54" i="37"/>
  <c r="K61" i="31" s="1"/>
  <c r="G54" i="37"/>
  <c r="AE54" i="37"/>
  <c r="Q54" i="37"/>
  <c r="AD54" i="37"/>
  <c r="P54" i="37"/>
  <c r="B54" i="37"/>
  <c r="F54" i="37" s="1"/>
  <c r="Z54" i="37"/>
  <c r="O54" i="37"/>
  <c r="N54" i="37"/>
  <c r="X54" i="37"/>
  <c r="Y54" i="37" s="1"/>
  <c r="J54" i="37"/>
  <c r="A55" i="37"/>
  <c r="V54" i="37"/>
  <c r="H54" i="37"/>
  <c r="W54" i="37"/>
  <c r="I54" i="37"/>
  <c r="F53" i="19"/>
  <c r="E61" i="25"/>
  <c r="D61" i="25"/>
  <c r="E62" i="28"/>
  <c r="D62" i="28"/>
  <c r="J52" i="33"/>
  <c r="D60" i="30"/>
  <c r="I52" i="33"/>
  <c r="D60" i="31"/>
  <c r="E60" i="30"/>
  <c r="E60" i="31"/>
  <c r="E53" i="11"/>
  <c r="C61" i="25"/>
  <c r="C62" i="28"/>
  <c r="H52" i="33"/>
  <c r="C60" i="31"/>
  <c r="C60" i="30"/>
  <c r="AE54" i="19"/>
  <c r="W54" i="19"/>
  <c r="G61" i="31" s="1"/>
  <c r="O54" i="19"/>
  <c r="G54" i="19"/>
  <c r="AD54" i="19"/>
  <c r="L53" i="33" s="1"/>
  <c r="V54" i="19"/>
  <c r="N54" i="19"/>
  <c r="AC54" i="19"/>
  <c r="U54" i="19"/>
  <c r="I61" i="30" s="1"/>
  <c r="M54" i="19"/>
  <c r="E54" i="19"/>
  <c r="AB54" i="19"/>
  <c r="N53" i="33" s="1"/>
  <c r="L54" i="19"/>
  <c r="G63" i="28" s="1"/>
  <c r="D54" i="19"/>
  <c r="I63" i="28" s="1"/>
  <c r="AA54" i="19"/>
  <c r="S54" i="19"/>
  <c r="T54" i="19" s="1"/>
  <c r="K54" i="19"/>
  <c r="K63" i="28" s="1"/>
  <c r="C54" i="19"/>
  <c r="Z54" i="19"/>
  <c r="G61" i="30" s="1"/>
  <c r="R54" i="19"/>
  <c r="I61" i="31" s="1"/>
  <c r="J54" i="19"/>
  <c r="B54" i="19"/>
  <c r="AF54" i="19"/>
  <c r="G62" i="25" s="1"/>
  <c r="X54" i="19"/>
  <c r="Y54" i="19" s="1"/>
  <c r="P54" i="19"/>
  <c r="H54" i="19"/>
  <c r="A55" i="19"/>
  <c r="Q54" i="19"/>
  <c r="I54" i="19"/>
  <c r="AE54" i="11"/>
  <c r="W54" i="11"/>
  <c r="F61" i="31" s="1"/>
  <c r="O54" i="11"/>
  <c r="G54" i="11"/>
  <c r="AD54" i="11"/>
  <c r="K53" i="33" s="1"/>
  <c r="V54" i="11"/>
  <c r="N54" i="11"/>
  <c r="F54" i="11"/>
  <c r="AC54" i="11"/>
  <c r="U54" i="11"/>
  <c r="H61" i="30" s="1"/>
  <c r="M54" i="11"/>
  <c r="AB54" i="11"/>
  <c r="M53" i="33" s="1"/>
  <c r="L54" i="11"/>
  <c r="F63" i="28" s="1"/>
  <c r="D54" i="11"/>
  <c r="H63" i="28" s="1"/>
  <c r="AA54" i="11"/>
  <c r="S54" i="11"/>
  <c r="T54" i="11" s="1"/>
  <c r="K54" i="11"/>
  <c r="J63" i="28" s="1"/>
  <c r="C54" i="11"/>
  <c r="Z54" i="11"/>
  <c r="F61" i="30" s="1"/>
  <c r="R54" i="11"/>
  <c r="H61" i="31" s="1"/>
  <c r="J54" i="11"/>
  <c r="B54" i="11"/>
  <c r="AF54" i="11"/>
  <c r="F62" i="25" s="1"/>
  <c r="X54" i="11"/>
  <c r="Y54" i="11" s="1"/>
  <c r="P54" i="11"/>
  <c r="H54" i="11"/>
  <c r="A55" i="11"/>
  <c r="Q54" i="11"/>
  <c r="I54" i="11"/>
  <c r="Q59" i="31"/>
  <c r="P59" i="31"/>
  <c r="O59" i="31"/>
  <c r="N59" i="31"/>
  <c r="M59" i="31"/>
  <c r="L59" i="31"/>
  <c r="E54" i="11" l="1"/>
  <c r="C63" i="28"/>
  <c r="C61" i="30"/>
  <c r="C62" i="25"/>
  <c r="C61" i="31"/>
  <c r="H53" i="33"/>
  <c r="AE55" i="19"/>
  <c r="W55" i="19"/>
  <c r="G62" i="31" s="1"/>
  <c r="O55" i="19"/>
  <c r="G55" i="19"/>
  <c r="AD55" i="19"/>
  <c r="L54" i="33" s="1"/>
  <c r="V55" i="19"/>
  <c r="N55" i="19"/>
  <c r="AC55" i="19"/>
  <c r="U55" i="19"/>
  <c r="I62" i="30" s="1"/>
  <c r="M55" i="19"/>
  <c r="E55" i="19"/>
  <c r="AB55" i="19"/>
  <c r="N54" i="33" s="1"/>
  <c r="L55" i="19"/>
  <c r="G64" i="28" s="1"/>
  <c r="D55" i="19"/>
  <c r="I64" i="28" s="1"/>
  <c r="AA55" i="19"/>
  <c r="S55" i="19"/>
  <c r="T55" i="19" s="1"/>
  <c r="K55" i="19"/>
  <c r="K64" i="28" s="1"/>
  <c r="C55" i="19"/>
  <c r="Z55" i="19"/>
  <c r="G62" i="30" s="1"/>
  <c r="R55" i="19"/>
  <c r="I62" i="31" s="1"/>
  <c r="J55" i="19"/>
  <c r="B55" i="19"/>
  <c r="AF55" i="19"/>
  <c r="G63" i="25" s="1"/>
  <c r="X55" i="19"/>
  <c r="Y55" i="19" s="1"/>
  <c r="P55" i="19"/>
  <c r="H55" i="19"/>
  <c r="Q55" i="19"/>
  <c r="I55" i="19"/>
  <c r="AF55" i="37"/>
  <c r="AE55" i="37"/>
  <c r="AD55" i="37"/>
  <c r="AC55" i="37"/>
  <c r="U55" i="37"/>
  <c r="K62" i="30" s="1"/>
  <c r="M55" i="37"/>
  <c r="E55" i="37"/>
  <c r="AB55" i="37"/>
  <c r="L55" i="37"/>
  <c r="D55" i="37"/>
  <c r="AA55" i="37"/>
  <c r="S55" i="37"/>
  <c r="T55" i="37" s="1"/>
  <c r="K55" i="37"/>
  <c r="M64" i="28" s="1"/>
  <c r="C55" i="37"/>
  <c r="Z55" i="37"/>
  <c r="N55" i="37"/>
  <c r="X55" i="37"/>
  <c r="Y55" i="37" s="1"/>
  <c r="J55" i="37"/>
  <c r="W55" i="37"/>
  <c r="I55" i="37"/>
  <c r="V55" i="37"/>
  <c r="H55" i="37"/>
  <c r="R55" i="37"/>
  <c r="G55" i="37"/>
  <c r="Q55" i="37"/>
  <c r="P55" i="37"/>
  <c r="O55" i="37"/>
  <c r="B55" i="37"/>
  <c r="F55" i="37" s="1"/>
  <c r="L60" i="31"/>
  <c r="Q60" i="31"/>
  <c r="P60" i="31"/>
  <c r="O60" i="31"/>
  <c r="N60" i="31"/>
  <c r="M60" i="31"/>
  <c r="AE55" i="11"/>
  <c r="W55" i="11"/>
  <c r="F62" i="31" s="1"/>
  <c r="O55" i="11"/>
  <c r="G55" i="11"/>
  <c r="AD55" i="11"/>
  <c r="K54" i="33" s="1"/>
  <c r="V55" i="11"/>
  <c r="N55" i="11"/>
  <c r="F55" i="11"/>
  <c r="AC55" i="11"/>
  <c r="U55" i="11"/>
  <c r="H62" i="30" s="1"/>
  <c r="M55" i="11"/>
  <c r="AB55" i="11"/>
  <c r="M54" i="33" s="1"/>
  <c r="L55" i="11"/>
  <c r="F64" i="28" s="1"/>
  <c r="D55" i="11"/>
  <c r="H64" i="28" s="1"/>
  <c r="AA55" i="11"/>
  <c r="S55" i="11"/>
  <c r="T55" i="11" s="1"/>
  <c r="K55" i="11"/>
  <c r="J64" i="28" s="1"/>
  <c r="C55" i="11"/>
  <c r="Z55" i="11"/>
  <c r="F62" i="30" s="1"/>
  <c r="R55" i="11"/>
  <c r="H62" i="31" s="1"/>
  <c r="J55" i="11"/>
  <c r="B55" i="11"/>
  <c r="AF55" i="11"/>
  <c r="F63" i="25" s="1"/>
  <c r="X55" i="11"/>
  <c r="Y55" i="11" s="1"/>
  <c r="P55" i="11"/>
  <c r="H55" i="11"/>
  <c r="I55" i="11"/>
  <c r="Q55" i="11"/>
  <c r="F54" i="19"/>
  <c r="E62" i="25"/>
  <c r="D62" i="25"/>
  <c r="J53" i="33"/>
  <c r="I53" i="33"/>
  <c r="D63" i="28"/>
  <c r="E61" i="31"/>
  <c r="D61" i="31"/>
  <c r="E63" i="28"/>
  <c r="E61" i="30"/>
  <c r="D61" i="30"/>
  <c r="Q55" i="36"/>
  <c r="I55" i="36"/>
  <c r="AF55" i="36"/>
  <c r="X55" i="36"/>
  <c r="Y55" i="36" s="1"/>
  <c r="P55" i="36"/>
  <c r="H55" i="36"/>
  <c r="AE55" i="36"/>
  <c r="W55" i="36"/>
  <c r="O55" i="36"/>
  <c r="G55" i="36"/>
  <c r="AD55" i="36"/>
  <c r="V55" i="36"/>
  <c r="N55" i="36"/>
  <c r="F55" i="36"/>
  <c r="AC55" i="36"/>
  <c r="U55" i="36"/>
  <c r="J62" i="30" s="1"/>
  <c r="M55" i="36"/>
  <c r="AB55" i="36"/>
  <c r="L55" i="36"/>
  <c r="D55" i="36"/>
  <c r="Z55" i="36"/>
  <c r="R55" i="36"/>
  <c r="J62" i="31" s="1"/>
  <c r="J55" i="36"/>
  <c r="B55" i="36"/>
  <c r="E55" i="36" s="1"/>
  <c r="AA55" i="36"/>
  <c r="S55" i="36"/>
  <c r="T55" i="36" s="1"/>
  <c r="K55" i="36"/>
  <c r="L64" i="28" s="1"/>
  <c r="C55" i="36"/>
  <c r="M61" i="31" l="1"/>
  <c r="L61" i="31"/>
  <c r="Q61" i="31"/>
  <c r="C148" i="17" s="1"/>
  <c r="P61" i="31"/>
  <c r="O61" i="31"/>
  <c r="N61" i="31"/>
  <c r="F55" i="19"/>
  <c r="E62" i="30"/>
  <c r="D62" i="30"/>
  <c r="E64" i="28"/>
  <c r="D64" i="28"/>
  <c r="J54" i="33"/>
  <c r="D63" i="25"/>
  <c r="E62" i="31"/>
  <c r="D62" i="31"/>
  <c r="I54" i="33"/>
  <c r="E63" i="25"/>
  <c r="E55" i="11"/>
  <c r="C63" i="25"/>
  <c r="C64" i="28"/>
  <c r="H54" i="33"/>
  <c r="C62" i="30"/>
  <c r="C62" i="31"/>
  <c r="C151" i="17" l="1"/>
  <c r="C155" i="17"/>
  <c r="B151" i="17"/>
  <c r="B153" i="17"/>
  <c r="B155" i="17"/>
  <c r="C153" i="17"/>
  <c r="O62" i="31"/>
  <c r="C146" i="17" s="1"/>
  <c r="N62" i="31"/>
  <c r="B146" i="17" s="1"/>
  <c r="M62" i="31"/>
  <c r="C144" i="17" s="1"/>
  <c r="L62" i="31"/>
  <c r="B144" i="17" s="1"/>
  <c r="P62" i="31"/>
  <c r="B148" i="17" s="1"/>
  <c r="C162" i="17"/>
  <c r="B158" i="17"/>
  <c r="B162" i="17"/>
  <c r="C158" i="17"/>
  <c r="B160" i="17"/>
  <c r="C16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Nyholm Tanja</author>
  </authors>
  <commentList>
    <comment ref="A19" authorId="0" shapeId="0" xr:uid="{00000000-0006-0000-0200-000001000000}">
      <text>
        <r>
          <rPr>
            <b/>
            <sz val="9"/>
            <rFont val="Tahoma"/>
            <charset val="134"/>
          </rPr>
          <t>Nyholm Tanja:</t>
        </r>
        <r>
          <rPr>
            <sz val="9"/>
            <rFont val="Tahoma"/>
            <charset val="134"/>
          </rPr>
          <t xml:space="preserve">
Fill in measures that you would like to calculate.</t>
        </r>
      </text>
    </comment>
    <comment ref="A23" authorId="0" shapeId="0" xr:uid="{00000000-0006-0000-0200-000002000000}">
      <text>
        <r>
          <rPr>
            <b/>
            <sz val="9"/>
            <rFont val="Tahoma"/>
            <charset val="134"/>
          </rPr>
          <t>Nyholm Tanja:</t>
        </r>
        <r>
          <rPr>
            <sz val="9"/>
            <rFont val="Tahoma"/>
            <charset val="134"/>
          </rPr>
          <t xml:space="preserve">
Fill in year between 1 and 50</t>
        </r>
      </text>
    </comment>
    <comment ref="A30" authorId="0" shapeId="0" xr:uid="{00000000-0006-0000-0200-000003000000}">
      <text>
        <r>
          <rPr>
            <b/>
            <sz val="9"/>
            <rFont val="Tahoma"/>
            <charset val="134"/>
          </rPr>
          <t>Nyholm Tanja:</t>
        </r>
        <r>
          <rPr>
            <sz val="9"/>
            <rFont val="Tahoma"/>
            <charset val="134"/>
          </rPr>
          <t xml:space="preserve">
Decrease(-) or increase(+) of purchased amount of electricity (kWh/a) based on the measure
</t>
        </r>
      </text>
    </comment>
    <comment ref="A42" authorId="0" shapeId="0" xr:uid="{00000000-0006-0000-0200-000004000000}">
      <text>
        <r>
          <rPr>
            <b/>
            <sz val="9"/>
            <rFont val="Tahoma"/>
            <charset val="134"/>
          </rPr>
          <t>Nyholm Tanja:</t>
        </r>
        <r>
          <rPr>
            <sz val="9"/>
            <rFont val="Tahoma"/>
            <charset val="134"/>
          </rPr>
          <t xml:space="preserve">
Decrease(-) or increase(+) of purchased amount of heating energy
 (kWh/a) based on the measure
 the measure
</t>
        </r>
      </text>
    </comment>
    <comment ref="A54" authorId="0" shapeId="0" xr:uid="{00000000-0006-0000-0200-000005000000}">
      <text>
        <r>
          <rPr>
            <b/>
            <sz val="9"/>
            <rFont val="Tahoma"/>
            <charset val="134"/>
          </rPr>
          <t>Nyholm Tanja:</t>
        </r>
        <r>
          <rPr>
            <sz val="9"/>
            <rFont val="Tahoma"/>
            <charset val="134"/>
          </rPr>
          <t xml:space="preserve">
Decrease(-) or increase(+) of purchased amount of cooling energy
 (kWh/a) based on the 
measure
</t>
        </r>
      </text>
    </comment>
    <comment ref="A66" authorId="0" shapeId="0" xr:uid="{00000000-0006-0000-0200-000006000000}">
      <text>
        <r>
          <rPr>
            <b/>
            <sz val="9"/>
            <rFont val="Tahoma"/>
            <charset val="134"/>
          </rPr>
          <t>Nyholm Tanja:</t>
        </r>
        <r>
          <rPr>
            <sz val="9"/>
            <rFont val="Tahoma"/>
            <charset val="134"/>
          </rPr>
          <t xml:space="preserve">
Decrease(-) or increase(+) of purchased amount of water
 (kWh/a) based on the measure
</t>
        </r>
      </text>
    </comment>
    <comment ref="A77" authorId="0" shapeId="0" xr:uid="{00000000-0006-0000-0200-000007000000}">
      <text>
        <r>
          <rPr>
            <b/>
            <sz val="9"/>
            <rFont val="Tahoma"/>
            <charset val="134"/>
          </rPr>
          <t>Nyholm Tanja:</t>
        </r>
        <r>
          <rPr>
            <sz val="9"/>
            <rFont val="Tahoma"/>
            <charset val="134"/>
          </rPr>
          <t xml:space="preserve">
Estimate the maintenance cost of measure per year.</t>
        </r>
      </text>
    </comment>
    <comment ref="A79" authorId="0" shapeId="0" xr:uid="{00000000-0006-0000-0200-000008000000}">
      <text>
        <r>
          <rPr>
            <b/>
            <sz val="9"/>
            <rFont val="Tahoma"/>
            <charset val="134"/>
          </rPr>
          <t>Nyholm Tanja:</t>
        </r>
        <r>
          <rPr>
            <sz val="9"/>
            <rFont val="Tahoma"/>
            <charset val="134"/>
          </rPr>
          <t xml:space="preserve">
If no subsidies granted for measure, insert value of 0.
</t>
        </r>
      </text>
    </comment>
    <comment ref="A81" authorId="0" shapeId="0" xr:uid="{00000000-0006-0000-0200-000009000000}">
      <text>
        <r>
          <rPr>
            <b/>
            <sz val="9"/>
            <rFont val="Tahoma"/>
            <charset val="134"/>
          </rPr>
          <t>Nyholm Tanja:</t>
        </r>
        <r>
          <rPr>
            <sz val="9"/>
            <rFont val="Tahoma"/>
            <charset val="134"/>
          </rPr>
          <t xml:space="preserve">
If not, insert value as "0"
</t>
        </r>
      </text>
    </comment>
    <comment ref="A83" authorId="0" shapeId="0" xr:uid="{00000000-0006-0000-0200-00000A000000}">
      <text>
        <r>
          <rPr>
            <b/>
            <sz val="9"/>
            <rFont val="Tahoma"/>
            <charset val="134"/>
          </rPr>
          <t>Nyholm Tanja:</t>
        </r>
        <r>
          <rPr>
            <sz val="9"/>
            <rFont val="Tahoma"/>
            <charset val="134"/>
          </rPr>
          <t xml:space="preserve">
usually between 2 % and 7 % for energy efficiency measures</t>
        </r>
      </text>
    </comment>
    <comment ref="A87" authorId="0" shapeId="0" xr:uid="{00000000-0006-0000-0200-00000B000000}">
      <text>
        <r>
          <rPr>
            <b/>
            <sz val="9"/>
            <rFont val="Tahoma"/>
            <charset val="134"/>
          </rPr>
          <t>Nyholm Tanja:</t>
        </r>
        <r>
          <rPr>
            <sz val="9"/>
            <rFont val="Tahoma"/>
            <charset val="134"/>
          </rPr>
          <t xml:space="preserve">
Estimate for costs due to bad indoor air  quality (if indoor air quality will became better due to measure) Decrease (-) or increase (+) costs.
 In Finland we have estimated, that costs are about 82€/human.
 If not, insert value as ”0"
Observe, that this value affects only to “Payback time 2”</t>
        </r>
      </text>
    </comment>
    <comment ref="A89" authorId="0" shapeId="0" xr:uid="{00000000-0006-0000-0200-00000C000000}">
      <text>
        <r>
          <rPr>
            <b/>
            <sz val="9"/>
            <rFont val="Tahoma"/>
            <charset val="134"/>
          </rPr>
          <t>Nyholm Tanja:</t>
        </r>
        <r>
          <rPr>
            <sz val="9"/>
            <rFont val="Tahoma"/>
            <charset val="134"/>
          </rPr>
          <t xml:space="preserve">
Observe, that this value affects only to the “Non-energy benefits”</t>
        </r>
      </text>
    </comment>
    <comment ref="A95" authorId="0" shapeId="0" xr:uid="{00000000-0006-0000-0200-00000D000000}">
      <text>
        <r>
          <rPr>
            <b/>
            <sz val="9"/>
            <rFont val="Tahoma"/>
            <charset val="134"/>
          </rPr>
          <t>Nyholm Tanja:</t>
        </r>
        <r>
          <rPr>
            <sz val="9"/>
            <rFont val="Tahoma"/>
            <charset val="134"/>
          </rPr>
          <t xml:space="preserve">
Decrease(+) or increase(-) </t>
        </r>
      </text>
    </comment>
    <comment ref="A97" authorId="0" shapeId="0" xr:uid="{00000000-0006-0000-0200-00000E000000}">
      <text>
        <r>
          <rPr>
            <b/>
            <sz val="9"/>
            <rFont val="Tahoma"/>
            <charset val="134"/>
          </rPr>
          <t>Nyholm Tanja:</t>
        </r>
        <r>
          <rPr>
            <sz val="9"/>
            <rFont val="Tahoma"/>
            <charset val="134"/>
          </rPr>
          <t xml:space="preserve">
Decrease(+) or increase(-) </t>
        </r>
      </text>
    </comment>
    <comment ref="A101" authorId="0" shapeId="0" xr:uid="{00000000-0006-0000-0200-00000F000000}">
      <text>
        <r>
          <rPr>
            <b/>
            <sz val="9"/>
            <rFont val="Tahoma"/>
            <charset val="134"/>
          </rPr>
          <t>Nyholm Tanja:</t>
        </r>
        <r>
          <rPr>
            <sz val="9"/>
            <rFont val="Tahoma"/>
            <charset val="134"/>
          </rPr>
          <t xml:space="preserve">
Decrease(+) or increase(-) </t>
        </r>
      </text>
    </comment>
    <comment ref="A105" authorId="0" shapeId="0" xr:uid="{00000000-0006-0000-0200-000010000000}">
      <text>
        <r>
          <rPr>
            <b/>
            <sz val="9"/>
            <rFont val="Tahoma"/>
            <charset val="134"/>
          </rPr>
          <t>Nyholm Tanja:</t>
        </r>
        <r>
          <rPr>
            <sz val="9"/>
            <rFont val="Tahoma"/>
            <charset val="134"/>
          </rPr>
          <t xml:space="preserve">
</t>
        </r>
      </text>
    </comment>
    <comment ref="A108" authorId="0" shapeId="0" xr:uid="{00000000-0006-0000-0200-000011000000}">
      <text>
        <r>
          <rPr>
            <b/>
            <sz val="9"/>
            <rFont val="Tahoma"/>
            <charset val="1"/>
          </rPr>
          <t>Nyholm Tanja:</t>
        </r>
        <r>
          <rPr>
            <sz val="9"/>
            <rFont val="Tahoma"/>
            <charset val="1"/>
          </rPr>
          <t xml:space="preserve">
Costs without interest rates</t>
        </r>
      </text>
    </comment>
    <comment ref="A117" authorId="0" shapeId="0" xr:uid="{00000000-0006-0000-0200-000012000000}">
      <text>
        <r>
          <rPr>
            <b/>
            <sz val="9"/>
            <rFont val="Tahoma"/>
            <charset val="1"/>
          </rPr>
          <t>Nyholm Tanja:</t>
        </r>
        <r>
          <rPr>
            <sz val="9"/>
            <rFont val="Tahoma"/>
            <charset val="1"/>
          </rPr>
          <t xml:space="preserve">
Costs without interest rates</t>
        </r>
      </text>
    </comment>
    <comment ref="A119" authorId="0" shapeId="0" xr:uid="{00000000-0006-0000-0200-000013000000}">
      <text>
        <r>
          <rPr>
            <b/>
            <sz val="9"/>
            <rFont val="Tahoma"/>
            <charset val="134"/>
          </rPr>
          <t>Nyholm Tanja:</t>
        </r>
        <r>
          <rPr>
            <sz val="9"/>
            <rFont val="Tahoma"/>
            <charset val="134"/>
          </rPr>
          <t xml:space="preserve">
= Decrease costs during Life cycle - Increase costs during Life cycle</t>
        </r>
      </text>
    </comment>
    <comment ref="A133" authorId="0" shapeId="0" xr:uid="{00000000-0006-0000-0200-000014000000}">
      <text>
        <r>
          <rPr>
            <b/>
            <sz val="9"/>
            <rFont val="Tahoma"/>
            <charset val="134"/>
          </rPr>
          <t>Nyholm Tanja:</t>
        </r>
        <r>
          <rPr>
            <sz val="9"/>
            <rFont val="Tahoma"/>
            <charset val="134"/>
          </rPr>
          <t xml:space="preserve">
Based on the given average value of non- energy benefits (B71/C71) and average amount of persons in the building(B74/C74). </t>
        </r>
      </text>
    </comment>
  </commentList>
</comments>
</file>

<file path=xl/sharedStrings.xml><?xml version="1.0" encoding="utf-8"?>
<sst xmlns="http://schemas.openxmlformats.org/spreadsheetml/2006/main" count="467" uniqueCount="305">
  <si>
    <t>Inputs</t>
  </si>
  <si>
    <t>Electricity amount changes</t>
  </si>
  <si>
    <t>Heating amount changes</t>
  </si>
  <si>
    <t>Professionals estimate the decrease of energy and solution prices</t>
  </si>
  <si>
    <t>Using electricity???</t>
  </si>
  <si>
    <t>Oil/ District heating/electricity</t>
  </si>
  <si>
    <t>1 pcs apartment house</t>
  </si>
  <si>
    <t>Decrease/Increase(-) (kWh/a)</t>
  </si>
  <si>
    <t>Price(€)/pcs</t>
  </si>
  <si>
    <t>Maintenance costs (%/price/a)</t>
  </si>
  <si>
    <t>Decrease of energy (kWh/a)</t>
  </si>
  <si>
    <t>Ventilation</t>
  </si>
  <si>
    <t>Ventilation: intelligent ventilation valve</t>
  </si>
  <si>
    <t>Solar panels(10kW, 100m2(10m2/kW))</t>
  </si>
  <si>
    <t>Solar collectors(30 m2/600€/m2)/500 kWh/m2), more because of 2m2/human?</t>
  </si>
  <si>
    <t>Underground thermal</t>
  </si>
  <si>
    <t>Lightning for LED-lamps (100 lamps)</t>
  </si>
  <si>
    <t>Automation, estimating</t>
  </si>
  <si>
    <t xml:space="preserve">In total </t>
  </si>
  <si>
    <t>Guidance for using tool</t>
  </si>
  <si>
    <r>
      <rPr>
        <b/>
        <sz val="14"/>
        <color theme="1"/>
        <rFont val="Calibri"/>
        <charset val="134"/>
        <scheme val="minor"/>
      </rPr>
      <t>On the first page “</t>
    </r>
    <r>
      <rPr>
        <sz val="14"/>
        <color theme="1"/>
        <rFont val="Calibri"/>
        <charset val="134"/>
        <scheme val="minor"/>
      </rPr>
      <t>Guidance for using tool”</t>
    </r>
  </si>
  <si>
    <r>
      <rPr>
        <b/>
        <sz val="14"/>
        <color theme="1"/>
        <rFont val="Calibri"/>
        <charset val="134"/>
        <scheme val="minor"/>
      </rPr>
      <t xml:space="preserve">On the second page </t>
    </r>
    <r>
      <rPr>
        <sz val="14"/>
        <color theme="1"/>
        <rFont val="Calibri"/>
        <charset val="134"/>
        <scheme val="minor"/>
      </rPr>
      <t>”Inputs and results”</t>
    </r>
  </si>
  <si>
    <t>First you fill in the background information about the building and energy demand before measures (to the grey cells).</t>
  </si>
  <si>
    <t>After that you fill in details about your energy efficiency data (to the green cells):</t>
  </si>
  <si>
    <r>
      <rPr>
        <b/>
        <sz val="11"/>
        <color theme="1"/>
        <rFont val="Calibri"/>
        <charset val="134"/>
        <scheme val="minor"/>
      </rPr>
      <t xml:space="preserve">·       An Energy effeciency measure: </t>
    </r>
    <r>
      <rPr>
        <sz val="11"/>
        <color theme="1"/>
        <rFont val="Calibri"/>
        <charset val="134"/>
        <scheme val="minor"/>
      </rPr>
      <t>fill in measures that you would like to calculate.</t>
    </r>
  </si>
  <si>
    <t>·       Length of life cycle/ Technical lifetime (years between 1-50).</t>
  </si>
  <si>
    <t>IMPACT OF THE MEASURES</t>
  </si>
  <si>
    <r>
      <rPr>
        <b/>
        <sz val="11"/>
        <color theme="1"/>
        <rFont val="Calibri"/>
        <charset val="134"/>
        <scheme val="minor"/>
      </rPr>
      <t>·       Energy prices</t>
    </r>
    <r>
      <rPr>
        <sz val="11"/>
        <color theme="1"/>
        <rFont val="Calibri"/>
        <charset val="134"/>
        <scheme val="minor"/>
      </rPr>
      <t xml:space="preserve"> (€/kWh) for the heating system, electricity and cooling energy</t>
    </r>
  </si>
  <si>
    <r>
      <rPr>
        <b/>
        <sz val="11"/>
        <color theme="1"/>
        <rFont val="Calibri"/>
        <charset val="134"/>
        <scheme val="minor"/>
      </rPr>
      <t>·       Change of purchased amount of energy</t>
    </r>
    <r>
      <rPr>
        <sz val="11"/>
        <color theme="1"/>
        <rFont val="Calibri"/>
        <charset val="134"/>
        <scheme val="minor"/>
      </rPr>
      <t xml:space="preserve"> (kWh/year)) based on</t>
    </r>
    <r>
      <rPr>
        <b/>
        <sz val="11"/>
        <color theme="1"/>
        <rFont val="Calibri"/>
        <charset val="134"/>
        <scheme val="minor"/>
      </rPr>
      <t xml:space="preserve"> the measure.</t>
    </r>
  </si>
  <si>
    <t xml:space="preserve">Both for electricity, heating systems energy and cooling energy </t>
  </si>
  <si>
    <r>
      <rPr>
        <b/>
        <sz val="11"/>
        <color theme="1"/>
        <rFont val="Calibri"/>
        <charset val="134"/>
        <scheme val="minor"/>
      </rPr>
      <t xml:space="preserve">·       Water price </t>
    </r>
    <r>
      <rPr>
        <sz val="11"/>
        <color theme="1"/>
        <rFont val="Calibri"/>
        <charset val="134"/>
        <scheme val="minor"/>
      </rPr>
      <t xml:space="preserve">(€/m3) </t>
    </r>
  </si>
  <si>
    <r>
      <rPr>
        <sz val="11"/>
        <color theme="1"/>
        <rFont val="Calibri"/>
        <charset val="134"/>
        <scheme val="minor"/>
      </rPr>
      <t>Includes the price of water and</t>
    </r>
    <r>
      <rPr>
        <b/>
        <sz val="11"/>
        <color theme="1"/>
        <rFont val="Calibri"/>
        <charset val="134"/>
        <scheme val="minor"/>
      </rPr>
      <t xml:space="preserve"> </t>
    </r>
    <r>
      <rPr>
        <sz val="11"/>
        <color theme="1"/>
        <rFont val="Calibri"/>
        <charset val="134"/>
        <scheme val="minor"/>
      </rPr>
      <t>waste water</t>
    </r>
  </si>
  <si>
    <r>
      <rPr>
        <b/>
        <sz val="11"/>
        <color theme="1"/>
        <rFont val="Calibri"/>
        <charset val="134"/>
        <scheme val="minor"/>
      </rPr>
      <t>·       Change of purchased amount of water</t>
    </r>
    <r>
      <rPr>
        <sz val="11"/>
        <color theme="1"/>
        <rFont val="Calibri"/>
        <charset val="134"/>
        <scheme val="minor"/>
      </rPr>
      <t xml:space="preserve"> (m3/year) based on</t>
    </r>
    <r>
      <rPr>
        <b/>
        <sz val="11"/>
        <color theme="1"/>
        <rFont val="Calibri"/>
        <charset val="134"/>
        <scheme val="minor"/>
      </rPr>
      <t xml:space="preserve"> the measure</t>
    </r>
  </si>
  <si>
    <r>
      <rPr>
        <sz val="11"/>
        <color theme="1"/>
        <rFont val="Calibri"/>
        <charset val="134"/>
        <scheme val="minor"/>
      </rPr>
      <t>If</t>
    </r>
    <r>
      <rPr>
        <b/>
        <sz val="11"/>
        <color theme="1"/>
        <rFont val="Calibri"/>
        <charset val="134"/>
        <scheme val="minor"/>
      </rPr>
      <t xml:space="preserve"> </t>
    </r>
    <r>
      <rPr>
        <sz val="11"/>
        <color theme="1"/>
        <rFont val="Calibri"/>
        <charset val="134"/>
        <scheme val="minor"/>
      </rPr>
      <t>the solution</t>
    </r>
    <r>
      <rPr>
        <b/>
        <sz val="11"/>
        <color theme="1"/>
        <rFont val="Calibri"/>
        <charset val="134"/>
        <scheme val="minor"/>
      </rPr>
      <t xml:space="preserve"> decreases</t>
    </r>
    <r>
      <rPr>
        <sz val="11"/>
        <color theme="1"/>
        <rFont val="Calibri"/>
        <charset val="134"/>
        <scheme val="minor"/>
      </rPr>
      <t xml:space="preserve"> purchased</t>
    </r>
    <r>
      <rPr>
        <b/>
        <sz val="11"/>
        <color theme="1"/>
        <rFont val="Calibri"/>
        <charset val="134"/>
        <scheme val="minor"/>
      </rPr>
      <t xml:space="preserve"> </t>
    </r>
    <r>
      <rPr>
        <sz val="11"/>
        <color theme="1"/>
        <rFont val="Calibri"/>
        <charset val="134"/>
        <scheme val="minor"/>
      </rPr>
      <t xml:space="preserve">energy/water, the feeded value is </t>
    </r>
    <r>
      <rPr>
        <b/>
        <sz val="11"/>
        <color theme="1"/>
        <rFont val="Calibri"/>
        <charset val="134"/>
        <scheme val="minor"/>
      </rPr>
      <t>negative (-)</t>
    </r>
  </si>
  <si>
    <r>
      <rPr>
        <sz val="11"/>
        <color theme="1"/>
        <rFont val="Calibri"/>
        <charset val="134"/>
        <scheme val="minor"/>
      </rPr>
      <t xml:space="preserve">If the solution </t>
    </r>
    <r>
      <rPr>
        <b/>
        <sz val="11"/>
        <color theme="1"/>
        <rFont val="Calibri"/>
        <charset val="134"/>
        <scheme val="minor"/>
      </rPr>
      <t xml:space="preserve">increases </t>
    </r>
    <r>
      <rPr>
        <sz val="11"/>
        <color theme="1"/>
        <rFont val="Calibri"/>
        <charset val="134"/>
        <scheme val="minor"/>
      </rPr>
      <t xml:space="preserve">purchased energy/water, the feeded value is </t>
    </r>
    <r>
      <rPr>
        <b/>
        <sz val="11"/>
        <color theme="1"/>
        <rFont val="Calibri"/>
        <charset val="134"/>
        <scheme val="minor"/>
      </rPr>
      <t>positive (+)</t>
    </r>
  </si>
  <si>
    <r>
      <rPr>
        <b/>
        <sz val="11"/>
        <color theme="1"/>
        <rFont val="Calibri"/>
        <charset val="134"/>
        <scheme val="minor"/>
      </rPr>
      <t>·       CO2-emissions of the  heating energy, electricity and cooling energy</t>
    </r>
    <r>
      <rPr>
        <sz val="11"/>
        <color theme="1"/>
        <rFont val="Calibri"/>
        <charset val="134"/>
        <scheme val="minor"/>
      </rPr>
      <t xml:space="preserve"> (kgCO2/kWh).</t>
    </r>
  </si>
  <si>
    <t>·       Sensitivity analyse, if energy / water prices change in future</t>
  </si>
  <si>
    <t>Option 1.Estimation for energy/water price change (% /year) after first year</t>
  </si>
  <si>
    <t>Option 2.Estimation for energy/water price change (% /year) after first year</t>
  </si>
  <si>
    <t>COST OF THE MEASURE</t>
  </si>
  <si>
    <r>
      <rPr>
        <b/>
        <sz val="11"/>
        <color theme="1"/>
        <rFont val="Calibri"/>
        <charset val="134"/>
        <scheme val="minor"/>
      </rPr>
      <t>· </t>
    </r>
    <r>
      <rPr>
        <sz val="11"/>
        <color theme="1"/>
        <rFont val="Calibri"/>
        <charset val="134"/>
        <scheme val="minor"/>
      </rPr>
      <t>     </t>
    </r>
    <r>
      <rPr>
        <b/>
        <sz val="11"/>
        <color theme="1"/>
        <rFont val="Calibri"/>
        <charset val="134"/>
        <scheme val="minor"/>
      </rPr>
      <t xml:space="preserve"> Investment cost of measures</t>
    </r>
    <r>
      <rPr>
        <sz val="11"/>
        <color theme="1"/>
        <rFont val="Calibri"/>
        <charset val="134"/>
        <scheme val="minor"/>
      </rPr>
      <t xml:space="preserve"> (€) and estimated maintenance cost per year (% / investment costs / year).</t>
    </r>
  </si>
  <si>
    <r>
      <rPr>
        <b/>
        <sz val="11"/>
        <color theme="1"/>
        <rFont val="Calibri"/>
        <charset val="134"/>
        <scheme val="minor"/>
      </rPr>
      <t>·       Possible energy subsidies/aid for the measures</t>
    </r>
    <r>
      <rPr>
        <sz val="11"/>
        <color theme="1"/>
        <rFont val="Calibri"/>
        <charset val="134"/>
        <scheme val="minor"/>
      </rPr>
      <t xml:space="preserve"> (% / investment costs). If there are no subsidies granted for the measure, insert value as ”0”.</t>
    </r>
  </si>
  <si>
    <r>
      <rPr>
        <b/>
        <sz val="11"/>
        <color theme="1"/>
        <rFont val="Calibri"/>
        <charset val="134"/>
        <scheme val="minor"/>
      </rPr>
      <t xml:space="preserve">·       Finance interest rate </t>
    </r>
    <r>
      <rPr>
        <sz val="11"/>
        <color theme="1"/>
        <rFont val="Calibri"/>
        <charset val="134"/>
        <scheme val="minor"/>
      </rPr>
      <t xml:space="preserve">(%/remaining investment/year). If not, insert value as "0". </t>
    </r>
  </si>
  <si>
    <r>
      <rPr>
        <b/>
        <sz val="11"/>
        <color theme="1"/>
        <rFont val="Calibri"/>
        <charset val="134"/>
        <scheme val="minor"/>
      </rPr>
      <t>·       Discount rate</t>
    </r>
    <r>
      <rPr>
        <sz val="11"/>
        <color theme="1"/>
        <rFont val="Calibri"/>
        <charset val="134"/>
        <scheme val="minor"/>
      </rPr>
      <t xml:space="preserve"> (%) (which is usually between 2 % and 7 % for energy efficiency measures) </t>
    </r>
  </si>
  <si>
    <t>Present and future money will be comparable, when future money are discounted.</t>
  </si>
  <si>
    <t>NON-ENERGY AFFECTS</t>
  </si>
  <si>
    <r>
      <rPr>
        <b/>
        <sz val="11"/>
        <color theme="1"/>
        <rFont val="Calibri"/>
        <charset val="134"/>
        <scheme val="minor"/>
      </rPr>
      <t xml:space="preserve">·       Non-energy benefits </t>
    </r>
    <r>
      <rPr>
        <sz val="11"/>
        <color theme="1"/>
        <rFont val="Calibri"/>
        <charset val="134"/>
        <scheme val="minor"/>
      </rPr>
      <t>(€/human): Estimate for costs due to bad indoor air  quality (if indoor air quality will became better due to measure).</t>
    </r>
  </si>
  <si>
    <t xml:space="preserve">                 Decrease cost (-) or increase cost(+) If not,  insert value as ”0”. </t>
  </si>
  <si>
    <t>Some other Non-energy benefits?</t>
  </si>
  <si>
    <t>Observe, that this value affects only to “Payback time 2”</t>
  </si>
  <si>
    <r>
      <rPr>
        <b/>
        <sz val="11"/>
        <color theme="1"/>
        <rFont val="Calibri"/>
        <charset val="134"/>
        <scheme val="minor"/>
      </rPr>
      <t>·       Number of people in the building</t>
    </r>
    <r>
      <rPr>
        <sz val="11"/>
        <color theme="1"/>
        <rFont val="Calibri"/>
        <charset val="134"/>
        <scheme val="minor"/>
      </rPr>
      <t xml:space="preserve"> (pcs)</t>
    </r>
  </si>
  <si>
    <t>Observe, that this value affects only to “Non-energy benefits”</t>
  </si>
  <si>
    <t>Outputs:</t>
  </si>
  <si>
    <r>
      <rPr>
        <b/>
        <u/>
        <sz val="11"/>
        <color theme="1"/>
        <rFont val="Calibri"/>
        <charset val="134"/>
        <scheme val="minor"/>
      </rPr>
      <t xml:space="preserve">Increase costs in Life cycle </t>
    </r>
    <r>
      <rPr>
        <u/>
        <sz val="11"/>
        <color theme="1"/>
        <rFont val="Calibri"/>
        <charset val="134"/>
        <scheme val="minor"/>
      </rPr>
      <t>(€)</t>
    </r>
    <r>
      <rPr>
        <sz val="11"/>
        <color theme="1"/>
        <rFont val="Calibri"/>
        <charset val="134"/>
        <scheme val="minor"/>
      </rPr>
      <t xml:space="preserve"> (Investment cost - energy subsidies + maintenance cost)</t>
    </r>
  </si>
  <si>
    <r>
      <rPr>
        <b/>
        <u/>
        <sz val="11"/>
        <color theme="1"/>
        <rFont val="Calibri"/>
        <charset val="134"/>
        <scheme val="minor"/>
      </rPr>
      <t xml:space="preserve">Decrease cost in Life cycle </t>
    </r>
    <r>
      <rPr>
        <u/>
        <sz val="11"/>
        <color theme="1"/>
        <rFont val="Calibri"/>
        <charset val="134"/>
        <scheme val="minor"/>
      </rPr>
      <t>(€)</t>
    </r>
    <r>
      <rPr>
        <sz val="11"/>
        <color theme="1"/>
        <rFont val="Calibri"/>
        <charset val="134"/>
        <scheme val="minor"/>
      </rPr>
      <t xml:space="preserve"> (Decrease energy costs + decrease water costs)</t>
    </r>
  </si>
  <si>
    <r>
      <rPr>
        <b/>
        <u/>
        <sz val="11"/>
        <color theme="1"/>
        <rFont val="Calibri"/>
        <charset val="134"/>
        <scheme val="minor"/>
      </rPr>
      <t xml:space="preserve">Life cycle result </t>
    </r>
    <r>
      <rPr>
        <u/>
        <sz val="11"/>
        <color theme="1"/>
        <rFont val="Calibri"/>
        <charset val="134"/>
        <scheme val="minor"/>
      </rPr>
      <t>(€)</t>
    </r>
    <r>
      <rPr>
        <b/>
        <u/>
        <sz val="11"/>
        <color theme="1"/>
        <rFont val="Calibri"/>
        <charset val="134"/>
        <scheme val="minor"/>
      </rPr>
      <t xml:space="preserve"> </t>
    </r>
    <r>
      <rPr>
        <sz val="11"/>
        <color theme="1"/>
        <rFont val="Calibri"/>
        <charset val="134"/>
        <scheme val="minor"/>
      </rPr>
      <t>(Decrease costs in Life cycle - Increase cost in Life cycle) (not interest rate)</t>
    </r>
  </si>
  <si>
    <t>Reduction of CO2-emissions</t>
  </si>
  <si>
    <r>
      <rPr>
        <sz val="11"/>
        <color theme="1"/>
        <rFont val="Calibri"/>
        <charset val="134"/>
        <scheme val="minor"/>
      </rPr>
      <t xml:space="preserve">·      </t>
    </r>
    <r>
      <rPr>
        <b/>
        <sz val="11"/>
        <color theme="1"/>
        <rFont val="Calibri"/>
        <charset val="134"/>
        <scheme val="minor"/>
      </rPr>
      <t xml:space="preserve">Reduction of CO2- emissions in life cycle </t>
    </r>
    <r>
      <rPr>
        <sz val="11"/>
        <color theme="1"/>
        <rFont val="Calibri"/>
        <charset val="134"/>
        <scheme val="minor"/>
      </rPr>
      <t>(kgCO2)</t>
    </r>
  </si>
  <si>
    <t xml:space="preserve">            ·      </t>
  </si>
  <si>
    <t>Reduction of CO2-emissions / CO2-emissions before measures (%)</t>
  </si>
  <si>
    <t>Non-energy benefits</t>
  </si>
  <si>
    <r>
      <rPr>
        <sz val="11"/>
        <color theme="1"/>
        <rFont val="Calibri"/>
        <charset val="134"/>
        <scheme val="minor"/>
      </rPr>
      <t>·     </t>
    </r>
    <r>
      <rPr>
        <b/>
        <sz val="11"/>
        <color theme="1"/>
        <rFont val="Calibri"/>
        <charset val="134"/>
        <scheme val="minor"/>
      </rPr>
      <t xml:space="preserve">Payback time 2 </t>
    </r>
    <r>
      <rPr>
        <sz val="11"/>
        <color theme="1"/>
        <rFont val="Calibri"/>
        <charset val="134"/>
        <scheme val="minor"/>
      </rPr>
      <t>(year), includes also the effects of non-energy benefits (reduction of health costs due to better indoor air quality etc.)</t>
    </r>
  </si>
  <si>
    <t>Financial results</t>
  </si>
  <si>
    <r>
      <rPr>
        <sz val="11"/>
        <color theme="1"/>
        <rFont val="Calibri"/>
        <charset val="134"/>
        <scheme val="minor"/>
      </rPr>
      <t>·     </t>
    </r>
    <r>
      <rPr>
        <b/>
        <sz val="11"/>
        <color theme="1"/>
        <rFont val="Calibri"/>
        <charset val="134"/>
        <scheme val="minor"/>
      </rPr>
      <t xml:space="preserve">Payback time </t>
    </r>
    <r>
      <rPr>
        <sz val="11"/>
        <color theme="1"/>
        <rFont val="Calibri"/>
        <charset val="134"/>
        <scheme val="minor"/>
      </rPr>
      <t>(year) (Investment cost divided by the annual savings (not interest rate))</t>
    </r>
  </si>
  <si>
    <r>
      <rPr>
        <sz val="11"/>
        <color theme="1"/>
        <rFont val="Calibri"/>
        <charset val="134"/>
        <scheme val="minor"/>
      </rPr>
      <t>·     </t>
    </r>
    <r>
      <rPr>
        <b/>
        <sz val="11"/>
        <color theme="1"/>
        <rFont val="Calibri"/>
        <charset val="134"/>
        <scheme val="minor"/>
      </rPr>
      <t xml:space="preserve">Cash flow </t>
    </r>
    <r>
      <rPr>
        <sz val="11"/>
        <color theme="1"/>
        <rFont val="Calibri"/>
        <charset val="134"/>
        <scheme val="minor"/>
      </rPr>
      <t>(€) (Annual profits (not discounted) – (investment costs + finance costs + other costs))</t>
    </r>
  </si>
  <si>
    <r>
      <rPr>
        <sz val="11"/>
        <color theme="1"/>
        <rFont val="Calibri"/>
        <charset val="134"/>
        <scheme val="minor"/>
      </rPr>
      <t>·     </t>
    </r>
    <r>
      <rPr>
        <b/>
        <sz val="11"/>
        <color theme="1"/>
        <rFont val="Calibri"/>
        <charset val="134"/>
        <scheme val="minor"/>
      </rPr>
      <t xml:space="preserve">Net present value NPV </t>
    </r>
    <r>
      <rPr>
        <sz val="11"/>
        <color theme="1"/>
        <rFont val="Calibri"/>
        <charset val="134"/>
        <scheme val="minor"/>
      </rPr>
      <t>(€) (All the future cash flows (in a given life cycle) discounted to present value)</t>
    </r>
  </si>
  <si>
    <r>
      <rPr>
        <sz val="11"/>
        <color theme="1"/>
        <rFont val="Calibri"/>
        <charset val="134"/>
        <scheme val="minor"/>
      </rPr>
      <t>·     </t>
    </r>
    <r>
      <rPr>
        <b/>
        <sz val="11"/>
        <color theme="1"/>
        <rFont val="Calibri"/>
        <charset val="134"/>
        <scheme val="minor"/>
      </rPr>
      <t xml:space="preserve">Internal rate of return, IRR </t>
    </r>
    <r>
      <rPr>
        <sz val="11"/>
        <color theme="1"/>
        <rFont val="Calibri"/>
        <charset val="134"/>
        <scheme val="minor"/>
      </rPr>
      <t>(%)</t>
    </r>
    <r>
      <rPr>
        <b/>
        <sz val="11"/>
        <color theme="1"/>
        <rFont val="Calibri"/>
        <charset val="134"/>
        <scheme val="minor"/>
      </rPr>
      <t xml:space="preserve"> (</t>
    </r>
    <r>
      <rPr>
        <sz val="11"/>
        <color theme="1"/>
        <rFont val="Calibri"/>
        <charset val="134"/>
        <scheme val="minor"/>
      </rPr>
      <t>Internal rate of return is the discount rate that makes investments Net present value to 0)</t>
    </r>
  </si>
  <si>
    <r>
      <rPr>
        <b/>
        <sz val="16"/>
        <color rgb="FF000000"/>
        <rFont val="Calibri"/>
        <charset val="134"/>
        <scheme val="minor"/>
      </rPr>
      <t>Results during the life cycle, presented also with charts and numbers (on pages 3-7)</t>
    </r>
    <r>
      <rPr>
        <b/>
        <sz val="16"/>
        <color theme="1"/>
        <rFont val="Calibri"/>
        <charset val="134"/>
        <scheme val="minor"/>
      </rPr>
      <t>:</t>
    </r>
  </si>
  <si>
    <r>
      <rPr>
        <b/>
        <sz val="11"/>
        <color theme="1"/>
        <rFont val="Calibri"/>
        <charset val="134"/>
        <scheme val="minor"/>
      </rPr>
      <t xml:space="preserve">3. Package of charts </t>
    </r>
    <r>
      <rPr>
        <sz val="11"/>
        <color theme="1"/>
        <rFont val="Calibri"/>
        <charset val="134"/>
        <scheme val="minor"/>
      </rPr>
      <t>(All charts on the same page)</t>
    </r>
  </si>
  <si>
    <r>
      <rPr>
        <b/>
        <sz val="11"/>
        <color theme="1"/>
        <rFont val="Calibri"/>
        <charset val="134"/>
        <scheme val="minor"/>
      </rPr>
      <t>4. Cash flow analysis</t>
    </r>
    <r>
      <rPr>
        <sz val="11"/>
        <color theme="1"/>
        <rFont val="Calibri"/>
        <charset val="134"/>
        <scheme val="minor"/>
      </rPr>
      <t xml:space="preserve"> = Annual profits (not discounted) – (investment costs + finance costs + other costs).</t>
    </r>
  </si>
  <si>
    <r>
      <rPr>
        <b/>
        <sz val="11"/>
        <color theme="1"/>
        <rFont val="Calibri"/>
        <charset val="134"/>
        <scheme val="minor"/>
      </rPr>
      <t>5. Net present value, NPV</t>
    </r>
    <r>
      <rPr>
        <sz val="11"/>
        <color theme="1"/>
        <rFont val="Calibri"/>
        <charset val="134"/>
        <scheme val="minor"/>
      </rPr>
      <t xml:space="preserve"> = All the future cash flows (in a given life cycle) discounted to present value</t>
    </r>
  </si>
  <si>
    <r>
      <rPr>
        <b/>
        <sz val="11"/>
        <color theme="1"/>
        <rFont val="Calibri"/>
        <charset val="134"/>
        <scheme val="minor"/>
      </rPr>
      <t>6. Simple payback time</t>
    </r>
    <r>
      <rPr>
        <sz val="11"/>
        <color theme="1"/>
        <rFont val="Calibri"/>
        <charset val="134"/>
        <scheme val="minor"/>
      </rPr>
      <t xml:space="preserve"> = Investment cost divided by the annual savings (not interest rate)</t>
    </r>
  </si>
  <si>
    <t>7. Change of CO2- emissions</t>
  </si>
  <si>
    <r>
      <rPr>
        <b/>
        <sz val="11"/>
        <color theme="1"/>
        <rFont val="Calibri"/>
        <charset val="134"/>
        <scheme val="minor"/>
      </rPr>
      <t>Notice: Results with interest rate</t>
    </r>
    <r>
      <rPr>
        <sz val="11"/>
        <color theme="1"/>
        <rFont val="Calibri"/>
        <charset val="134"/>
        <scheme val="minor"/>
      </rPr>
      <t xml:space="preserve"> = Annual Calculating the remaining investment cost of measure = </t>
    </r>
  </si>
  <si>
    <r>
      <rPr>
        <sz val="11"/>
        <color theme="1"/>
        <rFont val="Calibri"/>
        <charset val="134"/>
        <scheme val="minor"/>
      </rPr>
      <t>5%(fi</t>
    </r>
    <r>
      <rPr>
        <sz val="12"/>
        <color theme="1"/>
        <rFont val="Calibri"/>
        <charset val="134"/>
        <scheme val="minor"/>
      </rPr>
      <t>nance interest rate)* remaining Investment costs + remaining investment costs+ maintenance costs- reduction of energy costs</t>
    </r>
  </si>
  <si>
    <t>Different financial calculation methods</t>
  </si>
  <si>
    <t xml:space="preserve">Cash flow </t>
  </si>
  <si>
    <t>The sum of costs and profits for each time period</t>
  </si>
  <si>
    <t xml:space="preserve">       can include finance costs (debt payments)</t>
  </si>
  <si>
    <t xml:space="preserve">       can be also discounted with given discount rate.</t>
  </si>
  <si>
    <t>Discount rate</t>
  </si>
  <si>
    <t xml:space="preserve">Discounting means calculating the present value of future cash flow. In order for the current and future cash to be comparable, </t>
  </si>
  <si>
    <t>the value of future payments must be transferred to the present, ie discounted.</t>
  </si>
  <si>
    <t xml:space="preserve">        value of money decreases in time (inflation)</t>
  </si>
  <si>
    <t>The discount rate is used to discount the amounts of money at different time points.</t>
  </si>
  <si>
    <t>Net present value, NPV</t>
  </si>
  <si>
    <t>The sum of all discounted present and future cash flows is called net present value</t>
  </si>
  <si>
    <t>Internal rate of return, IRR</t>
  </si>
  <si>
    <t>Internal rate of return is the discount rate that makes investments net present value to 0.</t>
  </si>
  <si>
    <t>Simple payback time</t>
  </si>
  <si>
    <t>(Invest cost - subsidies)/(Decrease energy costs)</t>
  </si>
  <si>
    <t xml:space="preserve">OBSERVE! E4B project does not take responsibility for the results of the calculation concerning profitability of energy investment based on the results of the calculation tool. The reviewer always has the responsibility for interpreting the results and also to understand the effect of the variables related to the calculation on the results.
</t>
  </si>
  <si>
    <t>Basic information (Fill in grey cells)</t>
  </si>
  <si>
    <t>Building identification (name or address)</t>
  </si>
  <si>
    <t>Building</t>
  </si>
  <si>
    <t>Type of building</t>
  </si>
  <si>
    <t>Housing/ Residential building</t>
  </si>
  <si>
    <t>Heating system</t>
  </si>
  <si>
    <t>District heating</t>
  </si>
  <si>
    <t>Ventilation system</t>
  </si>
  <si>
    <t>Other</t>
  </si>
  <si>
    <t>Cooling system</t>
  </si>
  <si>
    <t>None</t>
  </si>
  <si>
    <t>Energy demand before measures (kWh/a)</t>
  </si>
  <si>
    <t>Electricity</t>
  </si>
  <si>
    <t>Heating energy</t>
  </si>
  <si>
    <t>Cooling energy</t>
  </si>
  <si>
    <t>Inputs (Fill in green cells)</t>
  </si>
  <si>
    <t>An Energy effeciency measure</t>
  </si>
  <si>
    <t>One measure</t>
  </si>
  <si>
    <t>Amount of group procurements (kpl)</t>
  </si>
  <si>
    <t>Lenght of life cycle/ / Technical lifetime (years)</t>
  </si>
  <si>
    <t>IMPACT OF THE MEASURE</t>
  </si>
  <si>
    <t>ELECTRICITY-DATA</t>
  </si>
  <si>
    <t>Price of Electricity (€/kWh)</t>
  </si>
  <si>
    <t>Change of purchased amount of electricity(kWh/year)</t>
  </si>
  <si>
    <t>CO2-emissions of the electricity (kgCO2/kWh)</t>
  </si>
  <si>
    <t>Option 1. Estimation for electricity price change  (%/year)</t>
  </si>
  <si>
    <t>Option 2. Estimation for electricity price change  (%/year)</t>
  </si>
  <si>
    <t>HEATING ENERGY- DATA</t>
  </si>
  <si>
    <t xml:space="preserve">Price of heating energy (€/kWh) </t>
  </si>
  <si>
    <t>Change of purchased amount of heating energy (kWh/year)</t>
  </si>
  <si>
    <t>CO2-emissions of the heating energy (kgCO2/kWh)</t>
  </si>
  <si>
    <t>Option 1. Estimation for heating energy price change  (%/year)</t>
  </si>
  <si>
    <t>Option 2. Estimation for heating energy price change  (%/year)</t>
  </si>
  <si>
    <t>COOLING ENERGY- DATA</t>
  </si>
  <si>
    <t xml:space="preserve">Price of cooling energy (€/kWh) </t>
  </si>
  <si>
    <t>Change of purchased amount of cooling energy (kWh/year)</t>
  </si>
  <si>
    <t>CO2-emissions of the cooling energy (kgCO2/kWh)</t>
  </si>
  <si>
    <t>Option 1. Estimation for cooling energy price change  (%/year)</t>
  </si>
  <si>
    <t>Option 2. Estimation for cooling energy price change  (%/year)</t>
  </si>
  <si>
    <t>WATER CONSUMPTION- DATA</t>
  </si>
  <si>
    <t>Price of water (€/m3)</t>
  </si>
  <si>
    <t>Change of purchased amount of water (m3/year)</t>
  </si>
  <si>
    <t>Option 1. Estimation for water price change  (%/year)</t>
  </si>
  <si>
    <t>Option 2. Estimation for water price change  (%/year)</t>
  </si>
  <si>
    <t>COSTS OF THE MEASURE</t>
  </si>
  <si>
    <t>Investment cost of measures(€)</t>
  </si>
  <si>
    <t>Maintenance costs ( % of the investment cost/year)</t>
  </si>
  <si>
    <t>Energy subsidies/aid (%/investment cost)</t>
  </si>
  <si>
    <t>Finance interest rate (%/remaining investment/year)</t>
  </si>
  <si>
    <t>Discount rate %</t>
  </si>
  <si>
    <t>NON-ENERGY IMPACTS</t>
  </si>
  <si>
    <t xml:space="preserve">Non- energy benefits: Change of health cost/human (€/human) </t>
  </si>
  <si>
    <t>Number of people in the building (pcs)</t>
  </si>
  <si>
    <t>Outputs</t>
  </si>
  <si>
    <t>DECREASE ENERGY/ WATER COSTS</t>
  </si>
  <si>
    <t>Decrease of heating cost(€/year)</t>
  </si>
  <si>
    <t>Decrease of electricity cost (€/year)</t>
  </si>
  <si>
    <t>Decrease of cooling cost (€/year)</t>
  </si>
  <si>
    <t>Total decrease of energy costs/year (€/year)</t>
  </si>
  <si>
    <t>Decrease of water cost (€/year)</t>
  </si>
  <si>
    <r>
      <rPr>
        <b/>
        <sz val="11"/>
        <color theme="1"/>
        <rFont val="Calibri"/>
        <charset val="134"/>
        <scheme val="minor"/>
      </rPr>
      <t>Total decrease of costs during</t>
    </r>
    <r>
      <rPr>
        <b/>
        <sz val="11"/>
        <rFont val="Calibri"/>
        <charset val="134"/>
        <scheme val="minor"/>
      </rPr>
      <t xml:space="preserve"> Life-cycle  (€)</t>
    </r>
  </si>
  <si>
    <t>INCREASE COSTS</t>
  </si>
  <si>
    <t>Investment cost of measures - energy subsidies (€)</t>
  </si>
  <si>
    <t>Maintenance costs/year (€/year)</t>
  </si>
  <si>
    <r>
      <rPr>
        <b/>
        <sz val="11"/>
        <color theme="1"/>
        <rFont val="Calibri"/>
        <charset val="134"/>
        <scheme val="minor"/>
      </rPr>
      <t>Increase of costs during</t>
    </r>
    <r>
      <rPr>
        <b/>
        <sz val="11"/>
        <rFont val="Calibri"/>
        <charset val="134"/>
        <scheme val="minor"/>
      </rPr>
      <t xml:space="preserve"> Life-cycle  (€)</t>
    </r>
  </si>
  <si>
    <t xml:space="preserve">COSTS OF LIFE CYCLE </t>
  </si>
  <si>
    <t>Life cycle result (€)</t>
  </si>
  <si>
    <t>REDUCTION OF CO2-EMISSIONS</t>
  </si>
  <si>
    <t>Reduction of CO2- emissions (kgCO2/year)</t>
  </si>
  <si>
    <t>Reduction of CO2- emissions during the Life cycle (kgCO2)</t>
  </si>
  <si>
    <t>NON- ENERGY BENEFITS</t>
  </si>
  <si>
    <t>Decrease cost due the Non-energy benefit (€/year)</t>
  </si>
  <si>
    <t xml:space="preserve">Pay back time 2 (year), includes the effects of non-energy benefit </t>
  </si>
  <si>
    <t xml:space="preserve">(for example decrease health costs) </t>
  </si>
  <si>
    <t>FINANCIAL RESULTS</t>
  </si>
  <si>
    <t>Pay back time (year)</t>
  </si>
  <si>
    <t>Internal rate of return, IRR (%)</t>
  </si>
  <si>
    <t>Internal rate of return, IRR (%), Option 1. Energy/water prices change</t>
  </si>
  <si>
    <t>Internal rate of return, IRR (%), Option 2. Energy/water prices change</t>
  </si>
  <si>
    <t xml:space="preserve">Net Present Value, NPV (€) </t>
  </si>
  <si>
    <t>Net Present Value, NPV (€), Option 1. Energy/water prices change</t>
  </si>
  <si>
    <t>Net Present Value, NPV (€), Option 2. Energy/water prices change</t>
  </si>
  <si>
    <t>Cash flow (€)</t>
  </si>
  <si>
    <t>Cash flow (€), Option 1. Energy/water prices change</t>
  </si>
  <si>
    <t>Cash flow (€), Option 2. Energy/water prices change</t>
  </si>
  <si>
    <t>Exhaust ventilation without heat recovery</t>
  </si>
  <si>
    <t>Ventilation with heat recovery</t>
  </si>
  <si>
    <t>District cooling</t>
  </si>
  <si>
    <t>Kindergarden/ School/ University</t>
  </si>
  <si>
    <t>Care/rest home/Hospital</t>
  </si>
  <si>
    <t>Sport/exercise center</t>
  </si>
  <si>
    <t>Church/religious building</t>
  </si>
  <si>
    <t>Commercial</t>
  </si>
  <si>
    <t>Other building</t>
  </si>
  <si>
    <t>Cashflow_1</t>
  </si>
  <si>
    <t>Cashflow_2</t>
  </si>
  <si>
    <t>Cashflow_1_Option 1. Energy/water prices change</t>
  </si>
  <si>
    <t>Cashflow_2 Option 1. Energy/water prices change</t>
  </si>
  <si>
    <t>Cashflow_1 Option 2. Energy/water prices change</t>
  </si>
  <si>
    <t>Cashflow_2 Option 2. Energy/water prices change</t>
  </si>
  <si>
    <t>Year_1Cf</t>
  </si>
  <si>
    <t>Year_2Cf</t>
  </si>
  <si>
    <t>Cash flow1</t>
  </si>
  <si>
    <t>Cash flow2</t>
  </si>
  <si>
    <t>Cash flow 1</t>
  </si>
  <si>
    <t>Cash flow 2</t>
  </si>
  <si>
    <t xml:space="preserve">Energy price </t>
  </si>
  <si>
    <t>change</t>
  </si>
  <si>
    <t>change 2</t>
  </si>
  <si>
    <t>NPV_1</t>
  </si>
  <si>
    <t>NPV_2</t>
  </si>
  <si>
    <t>NPV_1 Option 1. Energy/water prices change</t>
  </si>
  <si>
    <t>NPV_2 Option 1. Energy/water prices change</t>
  </si>
  <si>
    <t>NPV_1 Option 2. Energy/water prices change</t>
  </si>
  <si>
    <t>NPV_2 Option 2. Energy/water prices change</t>
  </si>
  <si>
    <t>Year_1NPV</t>
  </si>
  <si>
    <t>Year_2NPV</t>
  </si>
  <si>
    <t>Year</t>
  </si>
  <si>
    <t>Year_1</t>
  </si>
  <si>
    <t>Year_2</t>
  </si>
  <si>
    <t>Return_on_investment_1</t>
  </si>
  <si>
    <t>Return_on_investment_2</t>
  </si>
  <si>
    <t>Return_on_investment_1ep_change</t>
  </si>
  <si>
    <t>Return_on_investment_2ep_change</t>
  </si>
  <si>
    <t>energy prices change</t>
  </si>
  <si>
    <t>Payback_1_invest</t>
  </si>
  <si>
    <t>Payback_2_invest</t>
  </si>
  <si>
    <t>Payback_1</t>
  </si>
  <si>
    <t>Payback_2</t>
  </si>
  <si>
    <t>Payback_1 Decrease energy/water costs (€)</t>
  </si>
  <si>
    <t>Payback_2 Decrease energy/water costs (€)</t>
  </si>
  <si>
    <t>Total sum of the investment</t>
  </si>
  <si>
    <t>Decrease energy/water costs (€)</t>
  </si>
  <si>
    <t>Option 1. Energy/water prices change</t>
  </si>
  <si>
    <t>Option 2. Energy/water prices change</t>
  </si>
  <si>
    <t>(€)</t>
  </si>
  <si>
    <t>Year_1Payback</t>
  </si>
  <si>
    <t>Year_2Payback</t>
  </si>
  <si>
    <t>CO2_1</t>
  </si>
  <si>
    <t>CO2_2</t>
  </si>
  <si>
    <t>Year_1CO2</t>
  </si>
  <si>
    <t>Year_2CO2</t>
  </si>
  <si>
    <t>date</t>
  </si>
  <si>
    <t>Drop down box</t>
  </si>
  <si>
    <t xml:space="preserve">Set "If sentences", that calculating will stop, when life cycle is ended. </t>
  </si>
  <si>
    <t xml:space="preserve">Drawing of charts will stop at same time, when life cycle is ended. </t>
  </si>
  <si>
    <t>10-20.10</t>
  </si>
  <si>
    <t>Errors fixing and other modifications</t>
  </si>
  <si>
    <t>1. Solution( solar panels) has been changed to ventilation renovation, that is assumed to do on same time with other renovation. Independent its too expensive to make</t>
  </si>
  <si>
    <t>Modifing</t>
  </si>
  <si>
    <t>Cooling energy added</t>
  </si>
  <si>
    <t>Added Cashflow of life cycle also to the second page</t>
  </si>
  <si>
    <t>The automatic adaptation of the x-axis of the graph to the lenght of life cycle</t>
  </si>
  <si>
    <t>Modifing…….</t>
  </si>
  <si>
    <t>Oil heating</t>
  </si>
  <si>
    <t>Heat pump</t>
  </si>
  <si>
    <t xml:space="preserve">interest rate, energy saving and maintenance will be added to the end of the year </t>
  </si>
  <si>
    <t>POIS</t>
  </si>
  <si>
    <t>Diskount factor</t>
  </si>
  <si>
    <t>When energy and water prices change 1</t>
  </si>
  <si>
    <t>discont(maintenance, energy, interest)</t>
  </si>
  <si>
    <t>Energy price not change</t>
  </si>
  <si>
    <t>Decrease of CO2-emissions</t>
  </si>
  <si>
    <t>Years</t>
  </si>
  <si>
    <t>Decrease of cost, energy and water prices not change</t>
  </si>
  <si>
    <t>Cost savings, prices not change, annually</t>
  </si>
  <si>
    <t>Decrease cost energy prices not change disc</t>
  </si>
  <si>
    <t>Decrease cost energy prices not change disc, annually</t>
  </si>
  <si>
    <t>Decrease of costs, heating €/a</t>
  </si>
  <si>
    <t>Decrease of costs, cooling €/a</t>
  </si>
  <si>
    <t>Decrease of costs, electricity, €/a</t>
  </si>
  <si>
    <t>Decrease of costs, water, €/a</t>
  </si>
  <si>
    <t>Cost savings, annually</t>
  </si>
  <si>
    <t>Costs- Energy subsidies</t>
  </si>
  <si>
    <t>Maintenance</t>
  </si>
  <si>
    <t>Discont maintenance</t>
  </si>
  <si>
    <t>Costs with maintenance</t>
  </si>
  <si>
    <t>Decrease of costs, noticed discont €/a</t>
  </si>
  <si>
    <t>Cost savings(disk) saved annually</t>
  </si>
  <si>
    <t>Cash flow with interest, energy price changes</t>
  </si>
  <si>
    <t>interest</t>
  </si>
  <si>
    <t>Interest reality</t>
  </si>
  <si>
    <t>NPV 1 %, energy price changes</t>
  </si>
  <si>
    <t>Maintenance cost</t>
  </si>
  <si>
    <t>Casflow with interest, energy price not change</t>
  </si>
  <si>
    <t>Interest</t>
  </si>
  <si>
    <t>NPV 1, %</t>
  </si>
  <si>
    <t>ROI "net cash flow"ep changes</t>
  </si>
  <si>
    <t>ROI 1 %, Ep changes</t>
  </si>
  <si>
    <t>ROI "net cash flow"</t>
  </si>
  <si>
    <t>ROI 1 %</t>
  </si>
  <si>
    <t>, total (kgCO2)</t>
  </si>
  <si>
    <t>Total tCO2</t>
  </si>
  <si>
    <t>Cash flow ep not change,discost(maint, energ, interest)</t>
  </si>
  <si>
    <t>interest rate, energy saving and maintenance will be added to the end of the year</t>
  </si>
  <si>
    <t>When energyprice changing</t>
  </si>
  <si>
    <t>Decrease cost energy price not change disc</t>
  </si>
  <si>
    <t>Decrease cost energy price not change disc, annually</t>
  </si>
  <si>
    <t>Cost savings saved annually</t>
  </si>
  <si>
    <t>Costs-energysubsidies</t>
  </si>
  <si>
    <t>Discont Maintenance</t>
  </si>
  <si>
    <t>Decrease of costs, noticed discont value €/a</t>
  </si>
  <si>
    <t>Cash flow,ep changes</t>
  </si>
  <si>
    <t>NPV 2(%), ep changes</t>
  </si>
  <si>
    <t>Cash flow</t>
  </si>
  <si>
    <t>NPV 2 (%)</t>
  </si>
  <si>
    <t>ROI "cash flow" ep change</t>
  </si>
  <si>
    <t>ROI 2 %, ep change</t>
  </si>
  <si>
    <t>ROI "cash flow"</t>
  </si>
  <si>
    <t>ROI 2 %</t>
  </si>
  <si>
    <t>When energy prices changing 2</t>
  </si>
  <si>
    <t>Decrease of cost, energy prices not change</t>
  </si>
  <si>
    <t>Group procurement of the measure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</si>
</sst>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0_ ;\-#,##0\ "/>
    <numFmt numFmtId="166" formatCode="_-* #,##0\ _€_-;\-* #,##0\ _€_-;_-* &quot;-&quot;??\ _€_-;_-@_-"/>
    <numFmt numFmtId="167" formatCode="_-* #,##0.000\ _€_-;\-* #,##0.000\ _€_-;_-* &quot;-&quot;??\ _€_-;_-@_-"/>
    <numFmt numFmtId="168" formatCode="0.000"/>
    <numFmt numFmtId="169" formatCode="#,##0\ _€"/>
    <numFmt numFmtId="170" formatCode="0.0\ %"/>
    <numFmt numFmtId="171" formatCode="0.0"/>
  </numFmts>
  <fonts count="34">
    <font>
      <sz val="11"/>
      <color theme="1"/>
      <name val="Calibri"/>
      <charset val="134"/>
      <scheme val="minor"/>
    </font>
    <font>
      <sz val="12"/>
      <color theme="1"/>
      <name val="Arial"/>
      <charset val="134"/>
    </font>
    <font>
      <b/>
      <sz val="11"/>
      <color theme="1"/>
      <name val="Calibri"/>
      <charset val="134"/>
      <scheme val="minor"/>
    </font>
    <font>
      <sz val="11"/>
      <name val="Calibri"/>
      <charset val="134"/>
      <scheme val="minor"/>
    </font>
    <font>
      <b/>
      <sz val="14"/>
      <color theme="1"/>
      <name val="Calibri"/>
      <charset val="134"/>
      <scheme val="minor"/>
    </font>
    <font>
      <b/>
      <sz val="11"/>
      <color theme="1"/>
      <name val="Arial"/>
      <charset val="134"/>
    </font>
    <font>
      <b/>
      <sz val="11"/>
      <name val="Arial"/>
      <charset val="134"/>
    </font>
    <font>
      <sz val="10"/>
      <color theme="1"/>
      <name val="Arial"/>
      <charset val="134"/>
    </font>
    <font>
      <b/>
      <sz val="10"/>
      <color theme="1"/>
      <name val="Arial"/>
      <charset val="134"/>
    </font>
    <font>
      <sz val="11"/>
      <color theme="1"/>
      <name val="Arial"/>
      <charset val="134"/>
    </font>
    <font>
      <b/>
      <sz val="16"/>
      <color theme="1"/>
      <name val="Calibri"/>
      <charset val="134"/>
      <scheme val="minor"/>
    </font>
    <font>
      <b/>
      <sz val="11"/>
      <name val="Calibri"/>
      <charset val="134"/>
      <scheme val="minor"/>
    </font>
    <font>
      <b/>
      <sz val="14"/>
      <color theme="0"/>
      <name val="Calibri"/>
      <charset val="134"/>
      <scheme val="minor"/>
    </font>
    <font>
      <b/>
      <sz val="12"/>
      <color theme="1"/>
      <name val="Calibri"/>
      <charset val="134"/>
      <scheme val="minor"/>
    </font>
    <font>
      <b/>
      <sz val="16"/>
      <name val="Calibri"/>
      <charset val="134"/>
      <scheme val="minor"/>
    </font>
    <font>
      <b/>
      <sz val="14"/>
      <name val="Calibri"/>
      <charset val="134"/>
      <scheme val="minor"/>
    </font>
    <font>
      <b/>
      <sz val="11"/>
      <color theme="0"/>
      <name val="Calibri"/>
      <charset val="134"/>
      <scheme val="minor"/>
    </font>
    <font>
      <b/>
      <sz val="11"/>
      <color rgb="FFFF0000"/>
      <name val="Calibri"/>
      <charset val="134"/>
      <scheme val="minor"/>
    </font>
    <font>
      <b/>
      <sz val="11"/>
      <color rgb="FFFFFF00"/>
      <name val="Calibri"/>
      <charset val="134"/>
      <scheme val="minor"/>
    </font>
    <font>
      <b/>
      <sz val="20"/>
      <color theme="1"/>
      <name val="Calibri"/>
      <charset val="134"/>
      <scheme val="minor"/>
    </font>
    <font>
      <b/>
      <sz val="10"/>
      <color theme="1"/>
      <name val="Calibri"/>
      <charset val="134"/>
      <scheme val="minor"/>
    </font>
    <font>
      <b/>
      <u/>
      <sz val="11"/>
      <color theme="1"/>
      <name val="Calibri"/>
      <charset val="134"/>
      <scheme val="minor"/>
    </font>
    <font>
      <sz val="9"/>
      <color theme="1"/>
      <name val="Calibri"/>
      <charset val="134"/>
      <scheme val="minor"/>
    </font>
    <font>
      <b/>
      <sz val="16"/>
      <color rgb="FF000000"/>
      <name val="Calibri"/>
      <charset val="134"/>
      <scheme val="minor"/>
    </font>
    <font>
      <i/>
      <sz val="11"/>
      <color theme="1"/>
      <name val="Calibri"/>
      <charset val="134"/>
      <scheme val="minor"/>
    </font>
    <font>
      <sz val="10"/>
      <name val="Arial"/>
      <charset val="134"/>
    </font>
    <font>
      <sz val="14"/>
      <color theme="1"/>
      <name val="Calibri"/>
      <charset val="134"/>
      <scheme val="minor"/>
    </font>
    <font>
      <u/>
      <sz val="11"/>
      <color theme="1"/>
      <name val="Calibri"/>
      <charset val="134"/>
      <scheme val="minor"/>
    </font>
    <font>
      <sz val="12"/>
      <color theme="1"/>
      <name val="Calibri"/>
      <charset val="134"/>
      <scheme val="minor"/>
    </font>
    <font>
      <b/>
      <sz val="9"/>
      <name val="Tahoma"/>
      <charset val="134"/>
    </font>
    <font>
      <sz val="9"/>
      <name val="Tahoma"/>
      <charset val="134"/>
    </font>
    <font>
      <b/>
      <sz val="9"/>
      <name val="Tahoma"/>
      <charset val="1"/>
    </font>
    <font>
      <sz val="9"/>
      <name val="Tahoma"/>
      <charset val="1"/>
    </font>
    <font>
      <sz val="11"/>
      <color theme="1"/>
      <name val="Calibri"/>
      <charset val="134"/>
      <scheme val="minor"/>
    </font>
  </fonts>
  <fills count="22">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4" tint="0.79992065187536243"/>
        <bgColor theme="4" tint="0.79992065187536243"/>
      </patternFill>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3743705557422"/>
        <bgColor indexed="64"/>
      </patternFill>
    </fill>
    <fill>
      <patternFill patternType="solid">
        <fgColor theme="1" tint="0.499984740745262"/>
        <bgColor indexed="64"/>
      </patternFill>
    </fill>
    <fill>
      <patternFill patternType="solid">
        <fgColor theme="4" tint="0.79992065187536243"/>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8" tint="0.59999389629810485"/>
        <bgColor indexed="64"/>
      </patternFill>
    </fill>
    <fill>
      <patternFill patternType="solid">
        <fgColor theme="8" tint="0.79992065187536243"/>
        <bgColor indexed="64"/>
      </patternFill>
    </fill>
    <fill>
      <patternFill patternType="solid">
        <fgColor theme="2" tint="-0.499984740745262"/>
        <bgColor indexed="64"/>
      </patternFill>
    </fill>
    <fill>
      <patternFill patternType="solid">
        <fgColor theme="3" tint="0.39991454817346722"/>
        <bgColor indexed="64"/>
      </patternFill>
    </fill>
    <fill>
      <patternFill patternType="solid">
        <fgColor theme="6" tint="0.79992065187536243"/>
        <bgColor indexed="64"/>
      </patternFill>
    </fill>
    <fill>
      <patternFill patternType="solid">
        <fgColor theme="2"/>
        <bgColor indexed="64"/>
      </patternFill>
    </fill>
    <fill>
      <patternFill patternType="solid">
        <fgColor theme="3" tint="0.79992065187536243"/>
        <bgColor indexed="64"/>
      </patternFill>
    </fill>
  </fills>
  <borders count="21">
    <border>
      <left/>
      <right/>
      <top/>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s>
  <cellStyleXfs count="5">
    <xf numFmtId="0" fontId="0" fillId="0" borderId="0"/>
    <xf numFmtId="164" fontId="33" fillId="0" borderId="0" applyFont="0" applyFill="0" applyBorder="0" applyAlignment="0" applyProtection="0"/>
    <xf numFmtId="9" fontId="33" fillId="0" borderId="0" applyFont="0" applyFill="0" applyBorder="0" applyAlignment="0" applyProtection="0"/>
    <xf numFmtId="164" fontId="33" fillId="0" borderId="0" applyFont="0" applyFill="0" applyBorder="0" applyAlignment="0" applyProtection="0"/>
    <xf numFmtId="0" fontId="25" fillId="0" borderId="0"/>
  </cellStyleXfs>
  <cellXfs count="302">
    <xf numFmtId="0" fontId="0" fillId="0" borderId="0" xfId="0"/>
    <xf numFmtId="0" fontId="0" fillId="2" borderId="0" xfId="0" applyFill="1"/>
    <xf numFmtId="164" fontId="0" fillId="3" borderId="0" xfId="1" applyFont="1" applyFill="1"/>
    <xf numFmtId="164" fontId="0" fillId="0" borderId="0" xfId="1" applyFont="1" applyFill="1"/>
    <xf numFmtId="164" fontId="0" fillId="0" borderId="0" xfId="1" applyFont="1"/>
    <xf numFmtId="0" fontId="0" fillId="0" borderId="0" xfId="0" applyFill="1"/>
    <xf numFmtId="164" fontId="0" fillId="0" borderId="0" xfId="0" applyNumberFormat="1"/>
    <xf numFmtId="0" fontId="0" fillId="3" borderId="0" xfId="0" applyFill="1"/>
    <xf numFmtId="9" fontId="0" fillId="3" borderId="0" xfId="2" applyFont="1" applyFill="1"/>
    <xf numFmtId="0" fontId="0" fillId="4" borderId="0" xfId="0" applyFill="1"/>
    <xf numFmtId="164" fontId="0" fillId="4" borderId="0" xfId="1" applyFont="1" applyFill="1"/>
    <xf numFmtId="9" fontId="0" fillId="0" borderId="0" xfId="2" applyFont="1"/>
    <xf numFmtId="164" fontId="0" fillId="0" borderId="0" xfId="2" applyNumberFormat="1" applyFont="1"/>
    <xf numFmtId="0" fontId="0" fillId="5" borderId="0" xfId="0" applyFill="1"/>
    <xf numFmtId="0" fontId="1" fillId="0" borderId="0" xfId="0" applyFont="1"/>
    <xf numFmtId="0" fontId="1" fillId="6" borderId="1" xfId="0" applyFont="1" applyFill="1" applyBorder="1"/>
    <xf numFmtId="0" fontId="1" fillId="0" borderId="1" xfId="0" applyFont="1" applyBorder="1"/>
    <xf numFmtId="0" fontId="1" fillId="6" borderId="2" xfId="0" applyFont="1" applyFill="1" applyBorder="1"/>
    <xf numFmtId="0" fontId="1" fillId="6" borderId="0" xfId="0" applyFont="1" applyFill="1" applyBorder="1"/>
    <xf numFmtId="14" fontId="0" fillId="0" borderId="0" xfId="0" applyNumberFormat="1"/>
    <xf numFmtId="16" fontId="0" fillId="0" borderId="0" xfId="0" applyNumberFormat="1"/>
    <xf numFmtId="17" fontId="0" fillId="0" borderId="0" xfId="0" applyNumberFormat="1"/>
    <xf numFmtId="0" fontId="2" fillId="0" borderId="3" xfId="0" applyFont="1" applyBorder="1"/>
    <xf numFmtId="0" fontId="2" fillId="7" borderId="4" xfId="0" applyFont="1" applyFill="1" applyBorder="1"/>
    <xf numFmtId="0" fontId="2" fillId="0" borderId="5" xfId="0" applyFont="1" applyBorder="1"/>
    <xf numFmtId="0" fontId="2" fillId="0" borderId="6" xfId="0" applyFont="1" applyBorder="1"/>
    <xf numFmtId="0" fontId="2" fillId="7" borderId="6" xfId="0" applyFont="1" applyFill="1" applyBorder="1"/>
    <xf numFmtId="0" fontId="2" fillId="0" borderId="7" xfId="0" applyFont="1" applyBorder="1"/>
    <xf numFmtId="0" fontId="2" fillId="7" borderId="8" xfId="0" applyFont="1" applyFill="1" applyBorder="1"/>
    <xf numFmtId="0" fontId="2" fillId="0" borderId="0" xfId="0" applyFont="1"/>
    <xf numFmtId="1" fontId="0" fillId="0" borderId="0" xfId="0" applyNumberFormat="1"/>
    <xf numFmtId="165" fontId="0" fillId="0" borderId="0" xfId="1" applyNumberFormat="1" applyFont="1"/>
    <xf numFmtId="165" fontId="3" fillId="0" borderId="0" xfId="1" applyNumberFormat="1" applyFont="1"/>
    <xf numFmtId="165" fontId="3" fillId="0" borderId="0" xfId="0" applyNumberFormat="1" applyFont="1"/>
    <xf numFmtId="165" fontId="0" fillId="0" borderId="0" xfId="0" applyNumberFormat="1"/>
    <xf numFmtId="166" fontId="0" fillId="0" borderId="0" xfId="0" applyNumberFormat="1"/>
    <xf numFmtId="9" fontId="0" fillId="0" borderId="0" xfId="0" applyNumberFormat="1"/>
    <xf numFmtId="166" fontId="0" fillId="0" borderId="0" xfId="1" applyNumberFormat="1" applyFont="1"/>
    <xf numFmtId="0" fontId="2" fillId="0" borderId="9" xfId="0" applyFont="1" applyBorder="1"/>
    <xf numFmtId="0" fontId="2" fillId="7" borderId="10" xfId="0" applyFont="1" applyFill="1" applyBorder="1"/>
    <xf numFmtId="166" fontId="3" fillId="0" borderId="0" xfId="1" applyNumberFormat="1" applyFont="1"/>
    <xf numFmtId="1" fontId="3" fillId="0" borderId="0" xfId="0" applyNumberFormat="1" applyFont="1"/>
    <xf numFmtId="10" fontId="0" fillId="0" borderId="0" xfId="0" applyNumberFormat="1"/>
    <xf numFmtId="0" fontId="0" fillId="8" borderId="0" xfId="0" applyFill="1"/>
    <xf numFmtId="0" fontId="2" fillId="0" borderId="10" xfId="0" applyFont="1" applyBorder="1"/>
    <xf numFmtId="0" fontId="4" fillId="8" borderId="0" xfId="0" applyFont="1" applyFill="1"/>
    <xf numFmtId="0" fontId="0" fillId="0" borderId="0" xfId="0" applyProtection="1"/>
    <xf numFmtId="0" fontId="0" fillId="8" borderId="0" xfId="0" applyFill="1" applyProtection="1"/>
    <xf numFmtId="0" fontId="4" fillId="9" borderId="5" xfId="0" applyFont="1" applyFill="1" applyBorder="1" applyProtection="1"/>
    <xf numFmtId="0" fontId="5" fillId="0" borderId="11" xfId="0" applyFont="1" applyFill="1" applyBorder="1" applyAlignment="1" applyProtection="1">
      <alignment horizontal="left" indent="1"/>
    </xf>
    <xf numFmtId="0" fontId="6" fillId="10" borderId="5" xfId="0" applyFont="1" applyFill="1" applyBorder="1" applyProtection="1">
      <protection locked="0"/>
    </xf>
    <xf numFmtId="0" fontId="1" fillId="8" borderId="0" xfId="0" applyFont="1" applyFill="1" applyProtection="1"/>
    <xf numFmtId="0" fontId="5" fillId="0" borderId="12" xfId="0" applyFont="1" applyFill="1" applyBorder="1" applyAlignment="1" applyProtection="1">
      <alignment horizontal="left" indent="1"/>
    </xf>
    <xf numFmtId="0" fontId="5" fillId="7" borderId="5" xfId="0" applyFont="1" applyFill="1" applyBorder="1" applyAlignment="1" applyProtection="1">
      <alignment wrapText="1"/>
      <protection locked="0"/>
    </xf>
    <xf numFmtId="0" fontId="7" fillId="8" borderId="0" xfId="0" applyFont="1" applyFill="1" applyBorder="1" applyProtection="1"/>
    <xf numFmtId="0" fontId="0" fillId="0" borderId="0" xfId="0" applyFont="1" applyFill="1"/>
    <xf numFmtId="0" fontId="0" fillId="0" borderId="0" xfId="0" applyFont="1"/>
    <xf numFmtId="0" fontId="5" fillId="7" borderId="5" xfId="0" applyFont="1" applyFill="1" applyBorder="1" applyProtection="1">
      <protection locked="0"/>
    </xf>
    <xf numFmtId="0" fontId="5" fillId="0" borderId="13" xfId="0" applyFont="1" applyFill="1" applyBorder="1" applyAlignment="1" applyProtection="1">
      <alignment horizontal="left" indent="1"/>
    </xf>
    <xf numFmtId="0" fontId="5" fillId="0" borderId="5" xfId="0" applyFont="1" applyFill="1" applyBorder="1" applyAlignment="1" applyProtection="1">
      <alignment horizontal="left" indent="1"/>
    </xf>
    <xf numFmtId="0" fontId="8" fillId="8" borderId="0" xfId="0" applyFont="1" applyFill="1" applyBorder="1" applyProtection="1">
      <protection locked="0"/>
    </xf>
    <xf numFmtId="0" fontId="6" fillId="0" borderId="5" xfId="0" applyFont="1" applyFill="1" applyBorder="1" applyAlignment="1" applyProtection="1">
      <alignment horizontal="left" indent="1"/>
    </xf>
    <xf numFmtId="0" fontId="5" fillId="0" borderId="5" xfId="0" applyFont="1" applyFill="1" applyBorder="1" applyAlignment="1" applyProtection="1">
      <alignment horizontal="left" indent="2"/>
    </xf>
    <xf numFmtId="0" fontId="9" fillId="7" borderId="5" xfId="0" applyFont="1" applyFill="1" applyBorder="1" applyProtection="1">
      <protection locked="0"/>
    </xf>
    <xf numFmtId="0" fontId="8" fillId="0" borderId="0" xfId="0" applyFont="1" applyFill="1" applyBorder="1" applyProtection="1"/>
    <xf numFmtId="0" fontId="10" fillId="3" borderId="5" xfId="0" applyFont="1" applyFill="1" applyBorder="1" applyProtection="1"/>
    <xf numFmtId="0" fontId="0" fillId="8" borderId="14" xfId="0" applyFill="1" applyBorder="1" applyProtection="1"/>
    <xf numFmtId="0" fontId="0" fillId="8" borderId="6" xfId="0" applyFill="1" applyBorder="1" applyProtection="1"/>
    <xf numFmtId="0" fontId="2" fillId="8" borderId="0" xfId="0" applyFont="1" applyFill="1"/>
    <xf numFmtId="0" fontId="10" fillId="0" borderId="14" xfId="0" applyFont="1" applyFill="1" applyBorder="1" applyProtection="1"/>
    <xf numFmtId="0" fontId="0" fillId="8" borderId="0" xfId="0" applyFill="1" applyBorder="1" applyProtection="1"/>
    <xf numFmtId="0" fontId="0" fillId="8" borderId="10" xfId="0" applyFill="1" applyBorder="1" applyProtection="1"/>
    <xf numFmtId="0" fontId="4" fillId="0" borderId="14" xfId="0" applyFont="1" applyBorder="1" applyProtection="1"/>
    <xf numFmtId="0" fontId="4" fillId="3" borderId="5" xfId="0" applyFont="1" applyFill="1" applyBorder="1" applyProtection="1">
      <protection locked="0"/>
    </xf>
    <xf numFmtId="0" fontId="2" fillId="8" borderId="0" xfId="0" applyFont="1" applyFill="1" applyProtection="1"/>
    <xf numFmtId="164" fontId="0" fillId="8" borderId="0" xfId="1" applyFont="1" applyFill="1"/>
    <xf numFmtId="0" fontId="4" fillId="8" borderId="15" xfId="0" applyFont="1" applyFill="1" applyBorder="1" applyProtection="1"/>
    <xf numFmtId="0" fontId="4" fillId="8" borderId="0" xfId="0" applyFont="1" applyFill="1" applyBorder="1" applyProtection="1">
      <protection locked="0"/>
    </xf>
    <xf numFmtId="0" fontId="4" fillId="8" borderId="10" xfId="0" applyFont="1" applyFill="1" applyBorder="1" applyProtection="1">
      <protection locked="0"/>
    </xf>
    <xf numFmtId="0" fontId="4" fillId="8" borderId="15" xfId="0" applyFont="1" applyFill="1" applyBorder="1" applyProtection="1"/>
    <xf numFmtId="0" fontId="4" fillId="8" borderId="5" xfId="0" applyFont="1" applyFill="1" applyBorder="1" applyProtection="1">
      <protection locked="0"/>
    </xf>
    <xf numFmtId="0" fontId="11" fillId="0" borderId="15" xfId="0" applyFont="1" applyFill="1" applyBorder="1" applyProtection="1"/>
    <xf numFmtId="164" fontId="2" fillId="0" borderId="5" xfId="1" applyFont="1" applyFill="1" applyBorder="1" applyProtection="1">
      <protection locked="0"/>
    </xf>
    <xf numFmtId="0" fontId="11" fillId="0" borderId="14" xfId="0" applyFont="1" applyFill="1" applyBorder="1" applyProtection="1"/>
    <xf numFmtId="164" fontId="2" fillId="3" borderId="5" xfId="1" applyFont="1" applyFill="1" applyBorder="1" applyProtection="1">
      <protection locked="0"/>
    </xf>
    <xf numFmtId="0" fontId="4" fillId="8" borderId="0" xfId="0" applyFont="1" applyFill="1" applyBorder="1" applyProtection="1"/>
    <xf numFmtId="0" fontId="4" fillId="8" borderId="10" xfId="0" applyFont="1" applyFill="1" applyBorder="1" applyProtection="1"/>
    <xf numFmtId="0" fontId="12" fillId="11" borderId="14" xfId="0" applyFont="1" applyFill="1" applyBorder="1" applyProtection="1"/>
    <xf numFmtId="0" fontId="4" fillId="11" borderId="5" xfId="0" applyFont="1" applyFill="1" applyBorder="1" applyProtection="1"/>
    <xf numFmtId="0" fontId="2" fillId="8" borderId="16" xfId="0" applyFont="1" applyFill="1" applyBorder="1" applyProtection="1"/>
    <xf numFmtId="0" fontId="2" fillId="8" borderId="0" xfId="0" applyFont="1" applyFill="1" applyBorder="1" applyProtection="1"/>
    <xf numFmtId="0" fontId="2" fillId="8" borderId="10" xfId="0" applyFont="1" applyFill="1" applyBorder="1" applyProtection="1"/>
    <xf numFmtId="0" fontId="13" fillId="12" borderId="15" xfId="0" applyFont="1" applyFill="1" applyBorder="1" applyProtection="1"/>
    <xf numFmtId="0" fontId="13" fillId="12" borderId="5" xfId="0" applyFont="1" applyFill="1" applyBorder="1" applyProtection="1"/>
    <xf numFmtId="0" fontId="2" fillId="12" borderId="5" xfId="0" applyFont="1" applyFill="1" applyBorder="1" applyAlignment="1" applyProtection="1">
      <alignment horizontal="left" indent="2"/>
    </xf>
    <xf numFmtId="167" fontId="2" fillId="3" borderId="5" xfId="1" applyNumberFormat="1" applyFont="1" applyFill="1" applyBorder="1" applyProtection="1">
      <protection locked="0"/>
    </xf>
    <xf numFmtId="168" fontId="2" fillId="3" borderId="5" xfId="0" applyNumberFormat="1" applyFont="1" applyFill="1" applyBorder="1" applyProtection="1">
      <protection locked="0"/>
    </xf>
    <xf numFmtId="0" fontId="0" fillId="8" borderId="16" xfId="0" applyFill="1" applyBorder="1" applyProtection="1"/>
    <xf numFmtId="166" fontId="0" fillId="8" borderId="0" xfId="1" applyNumberFormat="1" applyFont="1" applyFill="1"/>
    <xf numFmtId="3" fontId="2" fillId="3" borderId="5" xfId="1" applyNumberFormat="1" applyFont="1" applyFill="1" applyBorder="1" applyProtection="1">
      <protection locked="0"/>
    </xf>
    <xf numFmtId="169" fontId="2" fillId="3" borderId="5" xfId="1" applyNumberFormat="1" applyFont="1" applyFill="1" applyBorder="1" applyProtection="1"/>
    <xf numFmtId="166" fontId="2" fillId="8" borderId="0" xfId="1" applyNumberFormat="1" applyFont="1" applyFill="1"/>
    <xf numFmtId="0" fontId="0" fillId="0" borderId="16" xfId="0" applyBorder="1" applyProtection="1"/>
    <xf numFmtId="0" fontId="0" fillId="8" borderId="0" xfId="1" applyNumberFormat="1" applyFont="1" applyFill="1" applyProtection="1"/>
    <xf numFmtId="10" fontId="2" fillId="3" borderId="5" xfId="2" applyNumberFormat="1" applyFont="1" applyFill="1" applyBorder="1" applyProtection="1">
      <protection locked="0"/>
    </xf>
    <xf numFmtId="164" fontId="0" fillId="8" borderId="0" xfId="1" applyFont="1" applyFill="1" applyProtection="1"/>
    <xf numFmtId="170" fontId="2" fillId="8" borderId="0" xfId="2" applyNumberFormat="1" applyFont="1" applyFill="1" applyBorder="1" applyProtection="1"/>
    <xf numFmtId="170" fontId="2" fillId="8" borderId="10" xfId="2" applyNumberFormat="1" applyFont="1" applyFill="1" applyBorder="1" applyProtection="1"/>
    <xf numFmtId="0" fontId="0" fillId="12" borderId="17" xfId="0" applyFill="1" applyBorder="1" applyProtection="1"/>
    <xf numFmtId="0" fontId="2" fillId="12" borderId="18" xfId="0" applyFont="1" applyFill="1" applyBorder="1" applyProtection="1"/>
    <xf numFmtId="0" fontId="2" fillId="12" borderId="8" xfId="0" applyFont="1" applyFill="1" applyBorder="1" applyProtection="1"/>
    <xf numFmtId="0" fontId="13" fillId="13" borderId="15" xfId="0" applyFont="1" applyFill="1" applyBorder="1" applyProtection="1"/>
    <xf numFmtId="0" fontId="13" fillId="13" borderId="5" xfId="0" applyFont="1" applyFill="1" applyBorder="1" applyProtection="1"/>
    <xf numFmtId="0" fontId="2" fillId="13" borderId="5" xfId="0" applyFont="1" applyFill="1" applyBorder="1" applyAlignment="1" applyProtection="1">
      <alignment horizontal="left" indent="2"/>
    </xf>
    <xf numFmtId="167" fontId="2" fillId="3" borderId="6" xfId="1" applyNumberFormat="1" applyFont="1" applyFill="1" applyBorder="1" applyProtection="1">
      <protection locked="0"/>
    </xf>
    <xf numFmtId="3" fontId="2" fillId="3" borderId="6" xfId="1" applyNumberFormat="1" applyFont="1" applyFill="1" applyBorder="1" applyProtection="1">
      <protection locked="0"/>
    </xf>
    <xf numFmtId="3" fontId="2" fillId="3" borderId="5" xfId="1" applyNumberFormat="1" applyFont="1" applyFill="1" applyBorder="1" applyProtection="1"/>
    <xf numFmtId="170" fontId="2" fillId="8" borderId="0" xfId="2" applyNumberFormat="1" applyFont="1" applyFill="1" applyProtection="1"/>
    <xf numFmtId="164" fontId="2" fillId="3" borderId="6" xfId="1" applyFont="1" applyFill="1" applyBorder="1" applyProtection="1">
      <protection locked="0"/>
    </xf>
    <xf numFmtId="170" fontId="0" fillId="8" borderId="0" xfId="2" applyNumberFormat="1" applyFont="1" applyFill="1" applyProtection="1"/>
    <xf numFmtId="10" fontId="2" fillId="3" borderId="6" xfId="2" applyNumberFormat="1" applyFont="1" applyFill="1" applyBorder="1" applyProtection="1">
      <protection locked="0"/>
    </xf>
    <xf numFmtId="0" fontId="0" fillId="13" borderId="17" xfId="0" applyFill="1" applyBorder="1" applyProtection="1"/>
    <xf numFmtId="0" fontId="2" fillId="13" borderId="18" xfId="0" applyFont="1" applyFill="1" applyBorder="1" applyProtection="1"/>
    <xf numFmtId="0" fontId="2" fillId="13" borderId="8" xfId="0" applyFont="1" applyFill="1" applyBorder="1" applyProtection="1"/>
    <xf numFmtId="9" fontId="2" fillId="8" borderId="0" xfId="2" applyFont="1" applyFill="1" applyBorder="1" applyProtection="1"/>
    <xf numFmtId="0" fontId="13" fillId="14" borderId="15" xfId="0" applyFont="1" applyFill="1" applyBorder="1" applyProtection="1"/>
    <xf numFmtId="9" fontId="13" fillId="14" borderId="5" xfId="2" applyFont="1" applyFill="1" applyBorder="1" applyProtection="1"/>
    <xf numFmtId="170" fontId="13" fillId="14" borderId="5" xfId="2" applyNumberFormat="1" applyFont="1" applyFill="1" applyBorder="1" applyProtection="1"/>
    <xf numFmtId="0" fontId="2" fillId="14" borderId="5" xfId="0" applyFont="1" applyFill="1" applyBorder="1" applyAlignment="1" applyProtection="1">
      <alignment horizontal="left" indent="2"/>
    </xf>
    <xf numFmtId="168" fontId="2" fillId="3" borderId="6" xfId="2" applyNumberFormat="1" applyFont="1" applyFill="1" applyBorder="1" applyProtection="1">
      <protection locked="0"/>
    </xf>
    <xf numFmtId="168" fontId="2" fillId="3" borderId="5" xfId="2" applyNumberFormat="1" applyFont="1" applyFill="1" applyBorder="1" applyProtection="1">
      <protection locked="0"/>
    </xf>
    <xf numFmtId="3" fontId="2" fillId="3" borderId="6" xfId="2" applyNumberFormat="1" applyFont="1" applyFill="1" applyBorder="1" applyProtection="1">
      <protection locked="0"/>
    </xf>
    <xf numFmtId="3" fontId="2" fillId="3" borderId="5" xfId="2" applyNumberFormat="1" applyFont="1" applyFill="1" applyBorder="1" applyProtection="1">
      <protection locked="0"/>
    </xf>
    <xf numFmtId="0" fontId="2" fillId="3" borderId="6" xfId="2" applyNumberFormat="1" applyFont="1" applyFill="1" applyBorder="1" applyProtection="1">
      <protection locked="0"/>
    </xf>
    <xf numFmtId="0" fontId="2" fillId="3" borderId="5" xfId="2" applyNumberFormat="1" applyFont="1" applyFill="1" applyBorder="1" applyProtection="1">
      <protection locked="0"/>
    </xf>
    <xf numFmtId="0" fontId="0" fillId="14" borderId="17" xfId="0" applyFill="1" applyBorder="1" applyProtection="1"/>
    <xf numFmtId="0" fontId="2" fillId="14" borderId="18" xfId="0" applyFont="1" applyFill="1" applyBorder="1" applyProtection="1"/>
    <xf numFmtId="0" fontId="2" fillId="14" borderId="8" xfId="0" applyFont="1" applyFill="1" applyBorder="1" applyProtection="1"/>
    <xf numFmtId="0" fontId="13" fillId="15" borderId="14" xfId="0" applyFont="1" applyFill="1" applyBorder="1" applyProtection="1"/>
    <xf numFmtId="0" fontId="13" fillId="16" borderId="5" xfId="0" applyFont="1" applyFill="1" applyBorder="1" applyProtection="1"/>
    <xf numFmtId="0" fontId="2" fillId="15" borderId="14" xfId="0" applyFont="1" applyFill="1" applyBorder="1" applyAlignment="1" applyProtection="1">
      <alignment horizontal="left" indent="2"/>
    </xf>
    <xf numFmtId="0" fontId="2" fillId="3" borderId="5" xfId="0" applyFont="1" applyFill="1" applyBorder="1" applyProtection="1">
      <protection locked="0"/>
    </xf>
    <xf numFmtId="164" fontId="0" fillId="8" borderId="0" xfId="0" applyNumberFormat="1" applyFill="1"/>
    <xf numFmtId="0" fontId="0" fillId="8" borderId="0" xfId="1" applyNumberFormat="1" applyFont="1" applyFill="1"/>
    <xf numFmtId="9" fontId="0" fillId="8" borderId="0" xfId="1" applyNumberFormat="1" applyFont="1" applyFill="1"/>
    <xf numFmtId="9" fontId="0" fillId="8" borderId="0" xfId="0" applyNumberFormat="1" applyFill="1"/>
    <xf numFmtId="0" fontId="0" fillId="8" borderId="0" xfId="0" applyNumberFormat="1" applyFill="1"/>
    <xf numFmtId="0" fontId="2" fillId="3" borderId="6" xfId="0" applyFont="1" applyFill="1" applyBorder="1" applyProtection="1">
      <protection locked="0"/>
    </xf>
    <xf numFmtId="0" fontId="2" fillId="8" borderId="17" xfId="0" applyFont="1" applyFill="1" applyBorder="1" applyProtection="1"/>
    <xf numFmtId="0" fontId="2" fillId="8" borderId="18" xfId="0" applyFont="1" applyFill="1" applyBorder="1" applyProtection="1"/>
    <xf numFmtId="0" fontId="2" fillId="8" borderId="8" xfId="0" applyFont="1" applyFill="1" applyBorder="1" applyProtection="1"/>
    <xf numFmtId="0" fontId="2" fillId="15" borderId="17" xfId="0" applyFont="1" applyFill="1" applyBorder="1" applyAlignment="1" applyProtection="1">
      <alignment horizontal="left" indent="2"/>
    </xf>
    <xf numFmtId="9" fontId="2" fillId="3" borderId="5" xfId="2" applyFont="1" applyFill="1" applyBorder="1" applyProtection="1">
      <protection locked="0"/>
    </xf>
    <xf numFmtId="0" fontId="2" fillId="16" borderId="17" xfId="0" applyFont="1" applyFill="1" applyBorder="1" applyProtection="1"/>
    <xf numFmtId="0" fontId="2" fillId="16" borderId="18" xfId="0" applyFont="1" applyFill="1" applyBorder="1" applyProtection="1"/>
    <xf numFmtId="0" fontId="2" fillId="16" borderId="8" xfId="0" applyFont="1" applyFill="1" applyBorder="1" applyProtection="1"/>
    <xf numFmtId="0" fontId="2" fillId="0" borderId="14" xfId="0" applyFont="1" applyFill="1" applyBorder="1" applyProtection="1"/>
    <xf numFmtId="164" fontId="2" fillId="8" borderId="0" xfId="1" applyFont="1" applyFill="1" applyBorder="1" applyProtection="1"/>
    <xf numFmtId="164" fontId="2" fillId="8" borderId="10" xfId="1" applyFont="1" applyFill="1" applyBorder="1" applyProtection="1"/>
    <xf numFmtId="170" fontId="2" fillId="3" borderId="5" xfId="2" applyNumberFormat="1" applyFont="1" applyFill="1" applyBorder="1" applyProtection="1">
      <protection locked="0"/>
    </xf>
    <xf numFmtId="0" fontId="0" fillId="0" borderId="0" xfId="0" applyBorder="1" applyProtection="1"/>
    <xf numFmtId="0" fontId="0" fillId="0" borderId="10" xfId="0" applyBorder="1" applyProtection="1"/>
    <xf numFmtId="0" fontId="12" fillId="17" borderId="5" xfId="0" applyFont="1" applyFill="1" applyBorder="1" applyProtection="1"/>
    <xf numFmtId="0" fontId="4" fillId="17" borderId="5" xfId="0" applyFont="1" applyFill="1" applyBorder="1" applyProtection="1"/>
    <xf numFmtId="2" fontId="2" fillId="3" borderId="5" xfId="1" applyNumberFormat="1" applyFont="1" applyFill="1" applyBorder="1" applyProtection="1">
      <protection locked="0"/>
    </xf>
    <xf numFmtId="9" fontId="0" fillId="8" borderId="0" xfId="2" applyFont="1" applyFill="1" applyProtection="1"/>
    <xf numFmtId="0" fontId="2" fillId="0" borderId="14" xfId="0" applyFont="1" applyFill="1" applyBorder="1" applyAlignment="1" applyProtection="1">
      <alignment wrapText="1"/>
    </xf>
    <xf numFmtId="0" fontId="2" fillId="8" borderId="16" xfId="0" applyFont="1" applyFill="1" applyBorder="1" applyAlignment="1" applyProtection="1">
      <alignment wrapText="1"/>
    </xf>
    <xf numFmtId="0" fontId="2" fillId="8" borderId="0" xfId="2" applyNumberFormat="1" applyFont="1" applyFill="1" applyBorder="1" applyProtection="1"/>
    <xf numFmtId="0" fontId="2" fillId="8" borderId="10" xfId="2" applyNumberFormat="1" applyFont="1" applyFill="1" applyBorder="1" applyProtection="1"/>
    <xf numFmtId="0" fontId="14" fillId="18" borderId="14" xfId="0" applyFont="1" applyFill="1" applyBorder="1" applyProtection="1"/>
    <xf numFmtId="0" fontId="4" fillId="18" borderId="19" xfId="0" applyFont="1" applyFill="1" applyBorder="1" applyProtection="1"/>
    <xf numFmtId="0" fontId="4" fillId="18" borderId="6" xfId="0" applyFont="1" applyFill="1" applyBorder="1" applyProtection="1"/>
    <xf numFmtId="166" fontId="0" fillId="8" borderId="0" xfId="0" applyNumberFormat="1" applyFill="1"/>
    <xf numFmtId="0" fontId="15" fillId="18" borderId="5" xfId="0" applyFont="1" applyFill="1" applyBorder="1" applyProtection="1"/>
    <xf numFmtId="166" fontId="4" fillId="18" borderId="5" xfId="1" applyNumberFormat="1" applyFont="1" applyFill="1" applyBorder="1" applyProtection="1"/>
    <xf numFmtId="0" fontId="4" fillId="18" borderId="5" xfId="1" applyNumberFormat="1" applyFont="1" applyFill="1" applyBorder="1" applyProtection="1"/>
    <xf numFmtId="0" fontId="16" fillId="8" borderId="16" xfId="0" applyFont="1" applyFill="1" applyBorder="1" applyProtection="1"/>
    <xf numFmtId="166" fontId="0" fillId="8" borderId="0" xfId="1" applyNumberFormat="1" applyFont="1" applyFill="1" applyBorder="1" applyProtection="1"/>
    <xf numFmtId="0" fontId="0" fillId="8" borderId="10" xfId="1" applyNumberFormat="1" applyFont="1" applyFill="1" applyBorder="1" applyProtection="1"/>
    <xf numFmtId="0" fontId="2" fillId="19" borderId="5" xfId="0" applyFont="1" applyFill="1" applyBorder="1" applyProtection="1"/>
    <xf numFmtId="3" fontId="2" fillId="0" borderId="5" xfId="1" applyNumberFormat="1" applyFont="1" applyBorder="1" applyProtection="1"/>
    <xf numFmtId="3" fontId="2" fillId="0" borderId="5" xfId="0" applyNumberFormat="1" applyFont="1" applyBorder="1" applyProtection="1"/>
    <xf numFmtId="3" fontId="2" fillId="0" borderId="5" xfId="2" applyNumberFormat="1" applyFont="1" applyBorder="1" applyProtection="1"/>
    <xf numFmtId="3" fontId="2" fillId="8" borderId="0" xfId="2" applyNumberFormat="1" applyFont="1" applyFill="1" applyBorder="1" applyProtection="1"/>
    <xf numFmtId="3" fontId="2" fillId="8" borderId="10" xfId="0" applyNumberFormat="1" applyFont="1" applyFill="1" applyBorder="1" applyProtection="1"/>
    <xf numFmtId="3" fontId="2" fillId="8" borderId="0" xfId="1" applyNumberFormat="1" applyFont="1" applyFill="1" applyBorder="1" applyProtection="1"/>
    <xf numFmtId="3" fontId="2" fillId="8" borderId="10" xfId="1" applyNumberFormat="1" applyFont="1" applyFill="1" applyBorder="1" applyProtection="1"/>
    <xf numFmtId="0" fontId="2" fillId="20" borderId="5" xfId="0" applyFont="1" applyFill="1" applyBorder="1" applyProtection="1"/>
    <xf numFmtId="0" fontId="2" fillId="0" borderId="5" xfId="0" applyFont="1" applyBorder="1" applyProtection="1"/>
    <xf numFmtId="166" fontId="0" fillId="8" borderId="0" xfId="1" applyNumberFormat="1" applyFont="1" applyFill="1" applyProtection="1"/>
    <xf numFmtId="0" fontId="4" fillId="18" borderId="5" xfId="0" applyFont="1" applyFill="1" applyBorder="1" applyProtection="1"/>
    <xf numFmtId="0" fontId="12" fillId="8" borderId="16" xfId="0" applyFont="1" applyFill="1" applyBorder="1" applyProtection="1"/>
    <xf numFmtId="164" fontId="4" fillId="18" borderId="5" xfId="1" applyFont="1" applyFill="1" applyBorder="1" applyProtection="1"/>
    <xf numFmtId="0" fontId="17" fillId="0" borderId="16" xfId="0" applyFont="1" applyFill="1" applyBorder="1" applyProtection="1"/>
    <xf numFmtId="3" fontId="2" fillId="0" borderId="0" xfId="1" applyNumberFormat="1" applyFont="1" applyBorder="1" applyProtection="1"/>
    <xf numFmtId="3" fontId="2" fillId="0" borderId="10" xfId="1" applyNumberFormat="1" applyFont="1" applyBorder="1" applyProtection="1"/>
    <xf numFmtId="9" fontId="2" fillId="0" borderId="5" xfId="2" applyFont="1" applyBorder="1" applyProtection="1"/>
    <xf numFmtId="4" fontId="2" fillId="8" borderId="0" xfId="1" applyNumberFormat="1" applyFont="1" applyFill="1" applyBorder="1" applyProtection="1"/>
    <xf numFmtId="4" fontId="4" fillId="18" borderId="5" xfId="1" applyNumberFormat="1" applyFont="1" applyFill="1" applyBorder="1" applyProtection="1"/>
    <xf numFmtId="10" fontId="2" fillId="8" borderId="0" xfId="1" applyNumberFormat="1" applyFont="1" applyFill="1" applyBorder="1" applyProtection="1"/>
    <xf numFmtId="10" fontId="2" fillId="8" borderId="10" xfId="1" applyNumberFormat="1" applyFont="1" applyFill="1" applyBorder="1" applyProtection="1"/>
    <xf numFmtId="164" fontId="2" fillId="0" borderId="5" xfId="1" applyFont="1" applyBorder="1" applyProtection="1"/>
    <xf numFmtId="3" fontId="4" fillId="18" borderId="5" xfId="1" applyNumberFormat="1" applyFont="1" applyFill="1" applyBorder="1" applyProtection="1"/>
    <xf numFmtId="4" fontId="2" fillId="0" borderId="5" xfId="1" applyNumberFormat="1" applyFont="1" applyBorder="1" applyProtection="1"/>
    <xf numFmtId="10" fontId="2" fillId="0" borderId="5" xfId="1" applyNumberFormat="1" applyFont="1" applyBorder="1" applyProtection="1"/>
    <xf numFmtId="1" fontId="2" fillId="8" borderId="0" xfId="1" applyNumberFormat="1" applyFont="1" applyFill="1" applyBorder="1" applyProtection="1"/>
    <xf numFmtId="1" fontId="2" fillId="8" borderId="10" xfId="1" applyNumberFormat="1" applyFont="1" applyFill="1" applyBorder="1" applyProtection="1"/>
    <xf numFmtId="0" fontId="2" fillId="0" borderId="16" xfId="0" applyFont="1" applyFill="1" applyBorder="1" applyProtection="1"/>
    <xf numFmtId="1" fontId="2" fillId="8" borderId="0" xfId="0" applyNumberFormat="1" applyFont="1" applyFill="1" applyBorder="1" applyProtection="1"/>
    <xf numFmtId="1" fontId="2" fillId="8" borderId="10" xfId="0" applyNumberFormat="1" applyFont="1" applyFill="1" applyBorder="1" applyProtection="1"/>
    <xf numFmtId="1" fontId="2" fillId="0" borderId="10" xfId="0" applyNumberFormat="1" applyFont="1" applyBorder="1" applyProtection="1"/>
    <xf numFmtId="171" fontId="0" fillId="8" borderId="0" xfId="1" applyNumberFormat="1" applyFont="1" applyFill="1" applyProtection="1"/>
    <xf numFmtId="164" fontId="2" fillId="8" borderId="0" xfId="1" applyFont="1" applyFill="1" applyProtection="1"/>
    <xf numFmtId="0" fontId="18" fillId="8" borderId="0" xfId="0" applyFont="1" applyFill="1" applyProtection="1"/>
    <xf numFmtId="0" fontId="0" fillId="8" borderId="0" xfId="0" applyFont="1" applyFill="1" applyBorder="1"/>
    <xf numFmtId="0" fontId="19" fillId="21" borderId="17" xfId="0" applyFont="1" applyFill="1" applyBorder="1"/>
    <xf numFmtId="0" fontId="0" fillId="21" borderId="18" xfId="0" applyFont="1" applyFill="1" applyBorder="1"/>
    <xf numFmtId="0" fontId="0" fillId="8" borderId="0" xfId="0" applyFont="1" applyFill="1"/>
    <xf numFmtId="0" fontId="4" fillId="7" borderId="14" xfId="0" applyFont="1" applyFill="1" applyBorder="1" applyAlignment="1">
      <alignment vertical="center"/>
    </xf>
    <xf numFmtId="0" fontId="0" fillId="7" borderId="19" xfId="0" applyFont="1" applyFill="1" applyBorder="1"/>
    <xf numFmtId="0" fontId="20" fillId="8" borderId="0" xfId="0" applyFont="1" applyFill="1" applyAlignment="1">
      <alignment vertical="center"/>
    </xf>
    <xf numFmtId="0" fontId="4" fillId="14" borderId="15" xfId="0" applyFont="1" applyFill="1" applyBorder="1" applyAlignment="1">
      <alignment vertical="center"/>
    </xf>
    <xf numFmtId="0" fontId="0" fillId="14" borderId="20" xfId="0" applyFont="1" applyFill="1" applyBorder="1"/>
    <xf numFmtId="0" fontId="20" fillId="14" borderId="16" xfId="0" applyFont="1" applyFill="1" applyBorder="1" applyAlignment="1">
      <alignment vertical="center"/>
    </xf>
    <xf numFmtId="0" fontId="0" fillId="14" borderId="0" xfId="0" applyFont="1" applyFill="1" applyBorder="1"/>
    <xf numFmtId="0" fontId="0" fillId="14" borderId="16" xfId="0" applyFont="1" applyFill="1" applyBorder="1" applyAlignment="1">
      <alignment vertical="center"/>
    </xf>
    <xf numFmtId="0" fontId="2" fillId="14" borderId="16" xfId="0" applyFont="1" applyFill="1" applyBorder="1" applyAlignment="1">
      <alignment horizontal="left" vertical="center" indent="4"/>
    </xf>
    <xf numFmtId="0" fontId="2" fillId="14" borderId="16" xfId="0" applyFont="1" applyFill="1" applyBorder="1" applyAlignment="1">
      <alignment horizontal="left" vertical="center"/>
    </xf>
    <xf numFmtId="0" fontId="0" fillId="14" borderId="16" xfId="0" applyFont="1" applyFill="1" applyBorder="1" applyAlignment="1">
      <alignment horizontal="left" vertical="center" indent="4"/>
    </xf>
    <xf numFmtId="0" fontId="0" fillId="14" borderId="16" xfId="0" applyFont="1" applyFill="1" applyBorder="1"/>
    <xf numFmtId="0" fontId="2" fillId="14" borderId="16" xfId="0" applyFont="1" applyFill="1" applyBorder="1"/>
    <xf numFmtId="0" fontId="0" fillId="14" borderId="0" xfId="0" applyFill="1"/>
    <xf numFmtId="0" fontId="0" fillId="14" borderId="16" xfId="0" applyFont="1" applyFill="1" applyBorder="1" applyAlignment="1">
      <alignment horizontal="left" vertical="center" indent="8"/>
    </xf>
    <xf numFmtId="0" fontId="2" fillId="14" borderId="0" xfId="0" applyFont="1" applyFill="1" applyBorder="1"/>
    <xf numFmtId="0" fontId="0" fillId="14" borderId="0" xfId="0" applyFont="1" applyFill="1" applyBorder="1" applyAlignment="1">
      <alignment horizontal="left" vertical="center" indent="4"/>
    </xf>
    <xf numFmtId="0" fontId="0" fillId="14" borderId="17" xfId="0" applyFont="1" applyFill="1" applyBorder="1" applyAlignment="1">
      <alignment horizontal="left" vertical="center" indent="4"/>
    </xf>
    <xf numFmtId="0" fontId="0" fillId="14" borderId="18" xfId="0" applyFont="1" applyFill="1" applyBorder="1" applyAlignment="1">
      <alignment horizontal="left" vertical="center" indent="4"/>
    </xf>
    <xf numFmtId="0" fontId="0" fillId="14" borderId="18" xfId="0" applyFont="1" applyFill="1" applyBorder="1"/>
    <xf numFmtId="0" fontId="10" fillId="8" borderId="0" xfId="0" applyFont="1" applyFill="1" applyAlignment="1">
      <alignment vertical="center"/>
    </xf>
    <xf numFmtId="0" fontId="10" fillId="12" borderId="15" xfId="0" applyFont="1" applyFill="1" applyBorder="1" applyAlignment="1">
      <alignment vertical="center"/>
    </xf>
    <xf numFmtId="0" fontId="0" fillId="12" borderId="20" xfId="0" applyFont="1" applyFill="1" applyBorder="1"/>
    <xf numFmtId="0" fontId="10" fillId="12" borderId="16" xfId="0" applyFont="1" applyFill="1" applyBorder="1" applyAlignment="1">
      <alignment vertical="center"/>
    </xf>
    <xf numFmtId="0" fontId="0" fillId="12" borderId="0" xfId="0" applyFont="1" applyFill="1" applyBorder="1"/>
    <xf numFmtId="0" fontId="2" fillId="12" borderId="16" xfId="0" applyFont="1" applyFill="1" applyBorder="1" applyAlignment="1">
      <alignment horizontal="left" vertical="center" indent="4"/>
    </xf>
    <xf numFmtId="0" fontId="0" fillId="12" borderId="16" xfId="0" applyFont="1" applyFill="1" applyBorder="1" applyAlignment="1">
      <alignment horizontal="left" vertical="center" indent="4"/>
    </xf>
    <xf numFmtId="0" fontId="21" fillId="12" borderId="16" xfId="0" applyFont="1" applyFill="1" applyBorder="1" applyAlignment="1">
      <alignment horizontal="left" vertical="center" indent="4"/>
    </xf>
    <xf numFmtId="0" fontId="0" fillId="12" borderId="0" xfId="0" applyFill="1"/>
    <xf numFmtId="0" fontId="22" fillId="14" borderId="0" xfId="0" applyFont="1" applyFill="1" applyBorder="1"/>
    <xf numFmtId="0" fontId="0" fillId="8" borderId="0" xfId="0" applyFill="1" applyBorder="1"/>
    <xf numFmtId="0" fontId="0" fillId="21" borderId="8" xfId="0" applyFill="1" applyBorder="1"/>
    <xf numFmtId="0" fontId="0" fillId="7" borderId="6" xfId="0" applyFill="1" applyBorder="1"/>
    <xf numFmtId="0" fontId="0" fillId="14" borderId="4" xfId="0" applyFill="1" applyBorder="1"/>
    <xf numFmtId="0" fontId="0" fillId="14" borderId="10" xfId="0" applyFill="1" applyBorder="1"/>
    <xf numFmtId="0" fontId="0" fillId="14" borderId="8" xfId="0" applyFill="1" applyBorder="1"/>
    <xf numFmtId="0" fontId="0" fillId="12" borderId="4" xfId="0" applyFill="1" applyBorder="1"/>
    <xf numFmtId="0" fontId="0" fillId="12" borderId="10" xfId="0" applyFill="1" applyBorder="1"/>
    <xf numFmtId="0" fontId="2" fillId="12" borderId="0" xfId="0" applyFont="1" applyFill="1" applyBorder="1" applyAlignment="1">
      <alignment horizontal="left" vertical="center"/>
    </xf>
    <xf numFmtId="0" fontId="21" fillId="12" borderId="0" xfId="0" applyFont="1" applyFill="1" applyBorder="1" applyAlignment="1">
      <alignment horizontal="left" vertical="center" indent="4"/>
    </xf>
    <xf numFmtId="0" fontId="0" fillId="12" borderId="0" xfId="0" applyFont="1" applyFill="1" applyBorder="1" applyAlignment="1">
      <alignment horizontal="left" vertical="center" indent="4"/>
    </xf>
    <xf numFmtId="0" fontId="0" fillId="12" borderId="0" xfId="0" applyFill="1" applyBorder="1"/>
    <xf numFmtId="0" fontId="0" fillId="12" borderId="17" xfId="0" applyFont="1" applyFill="1" applyBorder="1" applyAlignment="1">
      <alignment horizontal="left" vertical="center" indent="4"/>
    </xf>
    <xf numFmtId="0" fontId="0" fillId="12" borderId="18" xfId="0" applyFill="1" applyBorder="1"/>
    <xf numFmtId="0" fontId="0" fillId="8" borderId="18" xfId="0" applyFont="1" applyFill="1" applyBorder="1"/>
    <xf numFmtId="0" fontId="10" fillId="16" borderId="15" xfId="0" applyFont="1" applyFill="1" applyBorder="1" applyAlignment="1">
      <alignment vertical="center"/>
    </xf>
    <xf numFmtId="0" fontId="0" fillId="16" borderId="20" xfId="0" applyFont="1" applyFill="1" applyBorder="1"/>
    <xf numFmtId="0" fontId="23" fillId="16" borderId="16" xfId="0" applyFont="1" applyFill="1" applyBorder="1" applyAlignment="1">
      <alignment vertical="center"/>
    </xf>
    <xf numFmtId="0" fontId="0" fillId="16" borderId="0" xfId="0" applyFont="1" applyFill="1" applyBorder="1"/>
    <xf numFmtId="0" fontId="0" fillId="16" borderId="16" xfId="0" applyFont="1" applyFill="1" applyBorder="1"/>
    <xf numFmtId="0" fontId="2" fillId="16" borderId="16" xfId="0" applyFont="1" applyFill="1" applyBorder="1" applyAlignment="1">
      <alignment vertical="center"/>
    </xf>
    <xf numFmtId="0" fontId="0" fillId="16" borderId="17" xfId="0" applyFont="1" applyFill="1" applyBorder="1"/>
    <xf numFmtId="0" fontId="0" fillId="16" borderId="18" xfId="0" applyFont="1" applyFill="1" applyBorder="1"/>
    <xf numFmtId="0" fontId="10" fillId="20" borderId="15" xfId="0" applyFont="1" applyFill="1" applyBorder="1"/>
    <xf numFmtId="0" fontId="0" fillId="20" borderId="20" xfId="0" applyFill="1" applyBorder="1"/>
    <xf numFmtId="0" fontId="2" fillId="20" borderId="16" xfId="0" applyFont="1" applyFill="1" applyBorder="1"/>
    <xf numFmtId="0" fontId="0" fillId="20" borderId="0" xfId="0" applyFill="1" applyBorder="1"/>
    <xf numFmtId="0" fontId="0" fillId="20" borderId="16" xfId="0" applyFont="1" applyFill="1" applyBorder="1"/>
    <xf numFmtId="0" fontId="0" fillId="20" borderId="0" xfId="0" applyFill="1"/>
    <xf numFmtId="0" fontId="0" fillId="20" borderId="16" xfId="0" applyFill="1" applyBorder="1"/>
    <xf numFmtId="0" fontId="0" fillId="20" borderId="18" xfId="0" applyFill="1" applyBorder="1"/>
    <xf numFmtId="0" fontId="0" fillId="12" borderId="18" xfId="0" applyFont="1" applyFill="1" applyBorder="1"/>
    <xf numFmtId="0" fontId="0" fillId="12" borderId="8" xfId="0" applyFill="1" applyBorder="1"/>
    <xf numFmtId="0" fontId="0" fillId="16" borderId="4" xfId="0" applyFill="1" applyBorder="1"/>
    <xf numFmtId="0" fontId="0" fillId="16" borderId="10" xfId="0" applyFill="1" applyBorder="1"/>
    <xf numFmtId="0" fontId="0" fillId="16" borderId="10" xfId="0" applyFont="1" applyFill="1" applyBorder="1"/>
    <xf numFmtId="0" fontId="0" fillId="16" borderId="8" xfId="0" applyFill="1" applyBorder="1"/>
    <xf numFmtId="0" fontId="0" fillId="20" borderId="4" xfId="0" applyFill="1" applyBorder="1"/>
    <xf numFmtId="0" fontId="0" fillId="20" borderId="10" xfId="0" applyFill="1" applyBorder="1"/>
    <xf numFmtId="0" fontId="0" fillId="20" borderId="8" xfId="0" applyFill="1" applyBorder="1"/>
    <xf numFmtId="0" fontId="4" fillId="3" borderId="0" xfId="0" applyFont="1" applyFill="1"/>
    <xf numFmtId="0" fontId="2" fillId="0" borderId="0" xfId="0" applyFont="1" applyFill="1"/>
    <xf numFmtId="164" fontId="2" fillId="0" borderId="0" xfId="1" applyFont="1"/>
    <xf numFmtId="164" fontId="0" fillId="3" borderId="0" xfId="0" applyNumberFormat="1" applyFill="1"/>
    <xf numFmtId="0" fontId="2" fillId="4" borderId="0" xfId="0" applyFont="1" applyFill="1"/>
    <xf numFmtId="164" fontId="0" fillId="4" borderId="0" xfId="0" applyNumberFormat="1" applyFill="1"/>
    <xf numFmtId="164" fontId="0" fillId="0" borderId="0" xfId="0" applyNumberFormat="1" applyFill="1"/>
    <xf numFmtId="0" fontId="0" fillId="0" borderId="0" xfId="0" applyAlignment="1">
      <alignment vertical="center"/>
    </xf>
    <xf numFmtId="0" fontId="24" fillId="0" borderId="0" xfId="0" applyFont="1"/>
    <xf numFmtId="164" fontId="2" fillId="0" borderId="0" xfId="1" applyFont="1" applyFill="1"/>
    <xf numFmtId="9" fontId="0" fillId="4" borderId="0" xfId="0" applyNumberFormat="1" applyFill="1"/>
    <xf numFmtId="0" fontId="2" fillId="8" borderId="0" xfId="0" applyFont="1" applyFill="1" applyAlignment="1">
      <alignment wrapText="1"/>
    </xf>
    <xf numFmtId="0" fontId="2" fillId="0" borderId="0" xfId="0" applyFont="1" applyAlignment="1">
      <alignment wrapText="1"/>
    </xf>
  </cellXfs>
  <cellStyles count="5">
    <cellStyle name="Erotin 2" xfId="3" xr:uid="{00000000-0005-0000-0000-000031000000}"/>
    <cellStyle name="Normaali" xfId="0" builtinId="0"/>
    <cellStyle name="Normaali 2" xfId="4" xr:uid="{00000000-0005-0000-0000-000032000000}"/>
    <cellStyle name="Pilkku" xfId="1" builtinId="3"/>
    <cellStyle name="Prosenttia" xfId="2" builtinId="5"/>
  </cellStyles>
  <dxfs count="25">
    <dxf>
      <font>
        <color theme="0"/>
      </font>
    </dxf>
    <dxf>
      <font>
        <color theme="0"/>
      </font>
    </dxf>
    <dxf>
      <font>
        <color theme="0"/>
      </font>
    </dxf>
    <dxf>
      <font>
        <color theme="0"/>
      </font>
    </dxf>
    <dxf>
      <font>
        <color theme="0"/>
      </font>
    </dxf>
    <dxf>
      <font>
        <color theme="0"/>
      </font>
    </dxf>
    <dxf>
      <font>
        <color theme="0"/>
      </font>
    </dxf>
    <dxf>
      <font>
        <color rgb="FF9C0006"/>
      </font>
    </dxf>
    <dxf>
      <font>
        <color theme="0"/>
      </font>
    </dxf>
    <dxf>
      <font>
        <color theme="0"/>
      </font>
    </dxf>
    <dxf>
      <font>
        <color theme="0"/>
      </font>
    </dxf>
    <dxf>
      <font>
        <color theme="0"/>
      </font>
    </dxf>
    <dxf>
      <font>
        <color theme="0"/>
      </font>
    </dxf>
    <dxf>
      <font>
        <color rgb="FF9C0006"/>
      </font>
    </dxf>
    <dxf>
      <font>
        <color theme="0"/>
      </font>
    </dxf>
    <dxf>
      <font>
        <strike val="0"/>
        <color theme="0"/>
      </font>
    </dxf>
    <dxf>
      <font>
        <color rgb="FF9C0006"/>
      </font>
    </dxf>
    <dxf>
      <font>
        <strike val="0"/>
        <color theme="0"/>
      </font>
    </dxf>
    <dxf>
      <font>
        <strike val="0"/>
        <color theme="0"/>
      </font>
    </dxf>
    <dxf>
      <font>
        <strike val="0"/>
        <color theme="0"/>
      </font>
    </dxf>
    <dxf>
      <font>
        <strike val="0"/>
        <color theme="0"/>
      </font>
    </dxf>
    <dxf>
      <font>
        <color theme="0"/>
      </font>
    </dxf>
    <dxf>
      <font>
        <strike val="0"/>
        <color theme="0"/>
      </font>
    </dxf>
    <dxf>
      <font>
        <b/>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Cash flow,</a:t>
            </a:r>
            <a:r>
              <a:rPr lang="en-US" baseline="0"/>
              <a:t> </a:t>
            </a:r>
            <a:r>
              <a:rPr lang="en-US"/>
              <a:t>Both measures</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'4. Cash flow '!$F$9</c:f>
              <c:strCache>
                <c:ptCount val="1"/>
                <c:pt idx="0">
                  <c:v>Cashflow_1</c:v>
                </c:pt>
              </c:strCache>
            </c:strRef>
          </c:tx>
          <c:spPr>
            <a:ln w="28575" cap="rnd">
              <a:solidFill>
                <a:srgbClr val="92D05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B94F-4A6D-8E03-FBC550EF6C20}"/>
            </c:ext>
          </c:extLst>
        </c:ser>
        <c:ser>
          <c:idx val="1"/>
          <c:order val="1"/>
          <c:tx>
            <c:strRef>
              <c:f>'4. Cash flow '!$G$9</c:f>
              <c:strCache>
                <c:ptCount val="1"/>
                <c:pt idx="0">
                  <c:v>Cashflow_2</c:v>
                </c:pt>
              </c:strCache>
            </c:strRef>
          </c:tx>
          <c:spPr>
            <a:ln w="28575" cap="rnd">
              <a:solidFill>
                <a:srgbClr val="92D05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-595000</c:v>
                </c:pt>
                <c:pt idx="1">
                  <c:v>-556600</c:v>
                </c:pt>
                <c:pt idx="2">
                  <c:v>-517432</c:v>
                </c:pt>
                <c:pt idx="3">
                  <c:v>-477480.64</c:v>
                </c:pt>
                <c:pt idx="4">
                  <c:v>-436730.25280000002</c:v>
                </c:pt>
                <c:pt idx="5">
                  <c:v>-395164.85785600002</c:v>
                </c:pt>
                <c:pt idx="6">
                  <c:v>-352768.15501312003</c:v>
                </c:pt>
                <c:pt idx="7">
                  <c:v>-309523.51811338245</c:v>
                </c:pt>
                <c:pt idx="8">
                  <c:v>-265413.98847565008</c:v>
                </c:pt>
                <c:pt idx="9">
                  <c:v>-220422.26824516308</c:v>
                </c:pt>
                <c:pt idx="10">
                  <c:v>-174530.71361006633</c:v>
                </c:pt>
                <c:pt idx="11">
                  <c:v>-127721.32788226767</c:v>
                </c:pt>
                <c:pt idx="12">
                  <c:v>-79975.754439913013</c:v>
                </c:pt>
                <c:pt idx="13">
                  <c:v>-31275.269528711273</c:v>
                </c:pt>
                <c:pt idx="14">
                  <c:v>18399.225080714503</c:v>
                </c:pt>
                <c:pt idx="15">
                  <c:v>68699.225080714503</c:v>
                </c:pt>
                <c:pt idx="16">
                  <c:v>118999.2250807145</c:v>
                </c:pt>
                <c:pt idx="17">
                  <c:v>169299.2250807145</c:v>
                </c:pt>
                <c:pt idx="18">
                  <c:v>219599.2250807145</c:v>
                </c:pt>
                <c:pt idx="19">
                  <c:v>269899.2250807145</c:v>
                </c:pt>
                <c:pt idx="20">
                  <c:v>320199.2250807145</c:v>
                </c:pt>
              </c:numCache>
            </c:numRef>
          </c:val>
          <c:smooth val="0"/>
          <c:extLst>
            <c:ext xmlns:c16="http://schemas.microsoft.com/office/drawing/2014/chart" uri="{C3380CC4-5D6E-409C-BE32-E72D297353CC}">
              <c16:uniqueId val="{00000001-B94F-4A6D-8E03-FBC550EF6C20}"/>
            </c:ext>
          </c:extLst>
        </c:ser>
        <c:ser>
          <c:idx val="2"/>
          <c:order val="2"/>
          <c:tx>
            <c:strRef>
              <c:f>'4. Cash flow '!$H$9</c:f>
              <c:strCache>
                <c:ptCount val="1"/>
                <c:pt idx="0">
                  <c:v>Cashflow_1_Option 1. Energy/water prices change</c:v>
                </c:pt>
              </c:strCache>
            </c:strRef>
          </c:tx>
          <c:spPr>
            <a:ln w="28575" cap="rnd">
              <a:solidFill>
                <a:srgbClr val="7030A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2-B94F-4A6D-8E03-FBC550EF6C20}"/>
            </c:ext>
          </c:extLst>
        </c:ser>
        <c:ser>
          <c:idx val="3"/>
          <c:order val="3"/>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-595000</c:v>
                </c:pt>
                <c:pt idx="1">
                  <c:v>-556600</c:v>
                </c:pt>
                <c:pt idx="2">
                  <c:v>-515713</c:v>
                </c:pt>
                <c:pt idx="3">
                  <c:v>-472237.69</c:v>
                </c:pt>
                <c:pt idx="4">
                  <c:v>-426069.18670000002</c:v>
                </c:pt>
                <c:pt idx="5">
                  <c:v>-377098.91562099999</c:v>
                </c:pt>
                <c:pt idx="6">
                  <c:v>-325214.48947602999</c:v>
                </c:pt>
                <c:pt idx="7">
                  <c:v>-270299.58267443883</c:v>
                </c:pt>
                <c:pt idx="8">
                  <c:v>-212233.80183908253</c:v>
                </c:pt>
                <c:pt idx="9">
                  <c:v>-150892.55221235377</c:v>
                </c:pt>
                <c:pt idx="10">
                  <c:v>-86146.8998231851</c:v>
                </c:pt>
                <c:pt idx="11">
                  <c:v>-17863.42928323058</c:v>
                </c:pt>
                <c:pt idx="12">
                  <c:v>54095.902923615577</c:v>
                </c:pt>
                <c:pt idx="13">
                  <c:v>128792.00173990167</c:v>
                </c:pt>
                <c:pt idx="14">
                  <c:v>205938.98352067632</c:v>
                </c:pt>
                <c:pt idx="15">
                  <c:v>285610.37475487427</c:v>
                </c:pt>
                <c:pt idx="16">
                  <c:v>367881.90772609808</c:v>
                </c:pt>
                <c:pt idx="17">
                  <c:v>452831.58668645861</c:v>
                </c:pt>
                <c:pt idx="18">
                  <c:v>540539.75601562997</c:v>
                </c:pt>
                <c:pt idx="19">
                  <c:v>631089.1704246765</c:v>
                </c:pt>
                <c:pt idx="20">
                  <c:v>724565.06726599438</c:v>
                </c:pt>
              </c:numCache>
            </c:numRef>
          </c:val>
          <c:smooth val="0"/>
          <c:extLst>
            <c:ext xmlns:c16="http://schemas.microsoft.com/office/drawing/2014/chart" uri="{C3380CC4-5D6E-409C-BE32-E72D297353CC}">
              <c16:uniqueId val="{00000003-B94F-4A6D-8E03-FBC550EF6C20}"/>
            </c:ext>
          </c:extLst>
        </c:ser>
        <c:ser>
          <c:idx val="4"/>
          <c:order val="4"/>
          <c:tx>
            <c:strRef>
              <c:f>'4. Cash flow '!$J$9</c:f>
              <c:strCache>
                <c:ptCount val="1"/>
                <c:pt idx="0">
                  <c:v>Cashflow_1 Option 2. Energy/water prices change</c:v>
                </c:pt>
              </c:strCache>
            </c:strRef>
          </c:tx>
          <c:spPr>
            <a:ln w="28575" cap="rnd">
              <a:solidFill>
                <a:schemeClr val="bg2">
                  <a:lumMod val="50000"/>
                </a:schemeClr>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4-B94F-4A6D-8E03-FBC550EF6C20}"/>
            </c:ext>
          </c:extLst>
        </c:ser>
        <c:ser>
          <c:idx val="5"/>
          <c:order val="5"/>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-595000</c:v>
                </c:pt>
                <c:pt idx="1">
                  <c:v>-556600</c:v>
                </c:pt>
                <c:pt idx="2">
                  <c:v>-513994</c:v>
                </c:pt>
                <c:pt idx="3">
                  <c:v>-466891.60000000003</c:v>
                </c:pt>
                <c:pt idx="4">
                  <c:v>-414984.21519999998</c:v>
                </c:pt>
                <c:pt idx="5">
                  <c:v>-357943.96969599993</c:v>
                </c:pt>
                <c:pt idx="6">
                  <c:v>-295422.52349343989</c:v>
                </c:pt>
                <c:pt idx="7">
                  <c:v>-227049.82883103989</c:v>
                </c:pt>
                <c:pt idx="8">
                  <c:v>-152432.8115674557</c:v>
                </c:pt>
                <c:pt idx="9">
                  <c:v>-71153.973128187557</c:v>
                </c:pt>
                <c:pt idx="10">
                  <c:v>17230.091760103001</c:v>
                </c:pt>
                <c:pt idx="11">
                  <c:v>112845.66477200859</c:v>
                </c:pt>
                <c:pt idx="12">
                  <c:v>214618.17216462852</c:v>
                </c:pt>
                <c:pt idx="13">
                  <c:v>322917.03000080568</c:v>
                </c:pt>
                <c:pt idx="14">
                  <c:v>438133.8193071534</c:v>
                </c:pt>
                <c:pt idx="15">
                  <c:v>560683.61597188213</c:v>
                </c:pt>
                <c:pt idx="16">
                  <c:v>691006.4004364945</c:v>
                </c:pt>
                <c:pt idx="17">
                  <c:v>829568.55196898361</c:v>
                </c:pt>
                <c:pt idx="18">
                  <c:v>976864.43259342213</c:v>
                </c:pt>
                <c:pt idx="19">
                  <c:v>1133418.0660553267</c:v>
                </c:pt>
                <c:pt idx="20">
                  <c:v>1299784.9175249459</c:v>
                </c:pt>
              </c:numCache>
            </c:numRef>
          </c:val>
          <c:smooth val="0"/>
          <c:extLst>
            <c:ext xmlns:c16="http://schemas.microsoft.com/office/drawing/2014/chart" uri="{C3380CC4-5D6E-409C-BE32-E72D297353CC}">
              <c16:uniqueId val="{00000005-B94F-4A6D-8E03-FBC550EF6C20}"/>
            </c:ext>
          </c:extLst>
        </c:ser>
        <c:dLbls>
          <c:showLegendKey val="0"/>
          <c:showVal val="0"/>
          <c:showCatName val="0"/>
          <c:showSerName val="0"/>
          <c:showPercent val="0"/>
          <c:showBubbleSize val="0"/>
        </c:dLbls>
        <c:smooth val="0"/>
        <c:axId val="456035776"/>
        <c:axId val="456040480"/>
      </c:lineChart>
      <c:catAx>
        <c:axId val="45603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6040480"/>
        <c:crosses val="autoZero"/>
        <c:auto val="1"/>
        <c:lblAlgn val="ctr"/>
        <c:lblOffset val="100"/>
        <c:noMultiLvlLbl val="0"/>
      </c:catAx>
      <c:valAx>
        <c:axId val="45604048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6035776"/>
        <c:crosses val="autoZero"/>
        <c:crossBetween val="between"/>
      </c:valAx>
      <c:spPr>
        <a:noFill/>
        <a:ln>
          <a:noFill/>
        </a:ln>
        <a:effectLst/>
      </c:spPr>
    </c:plotArea>
    <c:legend>
      <c:legendPos val="b"/>
      <c:layout>
        <c:manualLayout>
          <c:xMode val="edge"/>
          <c:yMode val="edge"/>
          <c:x val="9.8109925608411402E-3"/>
          <c:y val="0.67360892388451399"/>
          <c:w val="0.98432278805385998"/>
          <c:h val="0.30787255759696702"/>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Change of CO2- emissions(t) 1</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688885941324699"/>
          <c:y val="0.17171296296296301"/>
          <c:w val="0.80554605636010701"/>
          <c:h val="0.60106408573928305"/>
        </c:manualLayout>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[0]!Year_1CO2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04ED-47EE-B9AA-B09A0799AFCF}"/>
            </c:ext>
          </c:extLst>
        </c:ser>
        <c:dLbls>
          <c:showLegendKey val="0"/>
          <c:showVal val="0"/>
          <c:showCatName val="0"/>
          <c:showSerName val="0"/>
          <c:showPercent val="0"/>
          <c:showBubbleSize val="0"/>
        </c:dLbls>
        <c:smooth val="0"/>
        <c:axId val="460060208"/>
        <c:axId val="460055896"/>
      </c:lineChart>
      <c:catAx>
        <c:axId val="460060208"/>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5896"/>
        <c:crosses val="autoZero"/>
        <c:auto val="1"/>
        <c:lblAlgn val="ctr"/>
        <c:lblOffset val="100"/>
        <c:noMultiLvlLbl val="1"/>
      </c:catAx>
      <c:valAx>
        <c:axId val="460055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60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Change of CO2- emissions(t) 2</a:t>
            </a:r>
          </a:p>
        </c:rich>
      </c:tx>
      <c:layout>
        <c:manualLayout>
          <c:xMode val="edge"/>
          <c:yMode val="edge"/>
          <c:x val="0.23221212121212101"/>
          <c:y val="2.9661016949152502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075518969219799"/>
          <c:y val="0.16139830508474601"/>
          <c:w val="0.79379026485325699"/>
          <c:h val="0.63487221406646199"/>
        </c:manualLayout>
      </c:layout>
      <c:lineChart>
        <c:grouping val="standard"/>
        <c:varyColors val="0"/>
        <c:ser>
          <c:idx val="1"/>
          <c:order val="0"/>
          <c:tx>
            <c:strRef>
              <c:f>'7. Change of CO2 emissions'!$G$11</c:f>
              <c:strCache>
                <c:ptCount val="1"/>
                <c:pt idx="0">
                  <c:v>CO2_2</c:v>
                </c:pt>
              </c:strCache>
            </c:strRef>
          </c:tx>
          <c:spPr>
            <a:ln w="28575" cap="rnd">
              <a:solidFill>
                <a:srgbClr val="92D050"/>
              </a:solidFill>
              <a:prstDash val="dash"/>
              <a:round/>
            </a:ln>
            <a:effectLst/>
          </c:spPr>
          <c:marker>
            <c:symbol val="none"/>
          </c:marker>
          <c:cat>
            <c:numRef>
              <c:f>[0]!Year_2CO2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-102</c:v>
                </c:pt>
                <c:pt idx="2">
                  <c:v>-204</c:v>
                </c:pt>
                <c:pt idx="3">
                  <c:v>-306</c:v>
                </c:pt>
                <c:pt idx="4">
                  <c:v>-408</c:v>
                </c:pt>
                <c:pt idx="5">
                  <c:v>-510</c:v>
                </c:pt>
                <c:pt idx="6">
                  <c:v>-612</c:v>
                </c:pt>
                <c:pt idx="7">
                  <c:v>-714</c:v>
                </c:pt>
                <c:pt idx="8">
                  <c:v>-816</c:v>
                </c:pt>
                <c:pt idx="9">
                  <c:v>-918</c:v>
                </c:pt>
                <c:pt idx="10">
                  <c:v>-1020</c:v>
                </c:pt>
                <c:pt idx="11">
                  <c:v>-1122</c:v>
                </c:pt>
                <c:pt idx="12">
                  <c:v>-1224</c:v>
                </c:pt>
                <c:pt idx="13">
                  <c:v>-1326</c:v>
                </c:pt>
                <c:pt idx="14">
                  <c:v>-1428</c:v>
                </c:pt>
                <c:pt idx="15">
                  <c:v>-1530</c:v>
                </c:pt>
                <c:pt idx="16">
                  <c:v>-1632</c:v>
                </c:pt>
                <c:pt idx="17">
                  <c:v>-1734</c:v>
                </c:pt>
                <c:pt idx="18">
                  <c:v>-1836</c:v>
                </c:pt>
                <c:pt idx="19">
                  <c:v>-1938</c:v>
                </c:pt>
                <c:pt idx="20">
                  <c:v>-2040</c:v>
                </c:pt>
              </c:numCache>
            </c:numRef>
          </c:val>
          <c:smooth val="0"/>
          <c:extLst>
            <c:ext xmlns:c16="http://schemas.microsoft.com/office/drawing/2014/chart" uri="{C3380CC4-5D6E-409C-BE32-E72D297353CC}">
              <c16:uniqueId val="{00000000-26C2-4D09-B9EA-F584322FAB67}"/>
            </c:ext>
          </c:extLst>
        </c:ser>
        <c:dLbls>
          <c:showLegendKey val="0"/>
          <c:showVal val="0"/>
          <c:showCatName val="0"/>
          <c:showSerName val="0"/>
          <c:showPercent val="0"/>
          <c:showBubbleSize val="0"/>
        </c:dLbls>
        <c:smooth val="0"/>
        <c:axId val="460060600"/>
        <c:axId val="460059424"/>
      </c:lineChart>
      <c:catAx>
        <c:axId val="460060600"/>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9424"/>
        <c:crosses val="autoZero"/>
        <c:auto val="1"/>
        <c:lblAlgn val="ctr"/>
        <c:lblOffset val="100"/>
        <c:noMultiLvlLbl val="0"/>
      </c:catAx>
      <c:valAx>
        <c:axId val="46005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60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Change of CO2-emissions (t), both measures</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47E1-4229-81A8-E3E1F65BE6F1}"/>
            </c:ext>
          </c:extLst>
        </c:ser>
        <c:ser>
          <c:idx val="1"/>
          <c:order val="1"/>
          <c:tx>
            <c:strRef>
              <c:f>'7. Change of CO2 emissions'!$G$11</c:f>
              <c:strCache>
                <c:ptCount val="1"/>
                <c:pt idx="0">
                  <c:v>CO2_2</c:v>
                </c:pt>
              </c:strCache>
            </c:strRef>
          </c:tx>
          <c:spPr>
            <a:ln w="28575" cap="rnd">
              <a:solidFill>
                <a:srgbClr val="92D050"/>
              </a:solidFill>
              <a:prstDash val="dash"/>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-102</c:v>
                </c:pt>
                <c:pt idx="2">
                  <c:v>-204</c:v>
                </c:pt>
                <c:pt idx="3">
                  <c:v>-306</c:v>
                </c:pt>
                <c:pt idx="4">
                  <c:v>-408</c:v>
                </c:pt>
                <c:pt idx="5">
                  <c:v>-510</c:v>
                </c:pt>
                <c:pt idx="6">
                  <c:v>-612</c:v>
                </c:pt>
                <c:pt idx="7">
                  <c:v>-714</c:v>
                </c:pt>
                <c:pt idx="8">
                  <c:v>-816</c:v>
                </c:pt>
                <c:pt idx="9">
                  <c:v>-918</c:v>
                </c:pt>
                <c:pt idx="10">
                  <c:v>-1020</c:v>
                </c:pt>
                <c:pt idx="11">
                  <c:v>-1122</c:v>
                </c:pt>
                <c:pt idx="12">
                  <c:v>-1224</c:v>
                </c:pt>
                <c:pt idx="13">
                  <c:v>-1326</c:v>
                </c:pt>
                <c:pt idx="14">
                  <c:v>-1428</c:v>
                </c:pt>
                <c:pt idx="15">
                  <c:v>-1530</c:v>
                </c:pt>
                <c:pt idx="16">
                  <c:v>-1632</c:v>
                </c:pt>
                <c:pt idx="17">
                  <c:v>-1734</c:v>
                </c:pt>
                <c:pt idx="18">
                  <c:v>-1836</c:v>
                </c:pt>
                <c:pt idx="19">
                  <c:v>-1938</c:v>
                </c:pt>
                <c:pt idx="20">
                  <c:v>-2040</c:v>
                </c:pt>
              </c:numCache>
            </c:numRef>
          </c:val>
          <c:smooth val="0"/>
          <c:extLst>
            <c:ext xmlns:c16="http://schemas.microsoft.com/office/drawing/2014/chart" uri="{C3380CC4-5D6E-409C-BE32-E72D297353CC}">
              <c16:uniqueId val="{00000001-47E1-4229-81A8-E3E1F65BE6F1}"/>
            </c:ext>
          </c:extLst>
        </c:ser>
        <c:dLbls>
          <c:showLegendKey val="0"/>
          <c:showVal val="0"/>
          <c:showCatName val="0"/>
          <c:showSerName val="0"/>
          <c:showPercent val="0"/>
          <c:showBubbleSize val="0"/>
        </c:dLbls>
        <c:smooth val="0"/>
        <c:axId val="460055112"/>
        <c:axId val="460057464"/>
      </c:lineChart>
      <c:catAx>
        <c:axId val="460055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7464"/>
        <c:crosses val="autoZero"/>
        <c:auto val="1"/>
        <c:lblAlgn val="ctr"/>
        <c:lblOffset val="100"/>
        <c:noMultiLvlLbl val="0"/>
      </c:catAx>
      <c:valAx>
        <c:axId val="460057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5112"/>
        <c:crosses val="autoZero"/>
        <c:crossBetween val="between"/>
      </c:valAx>
      <c:spPr>
        <a:noFill/>
        <a:ln>
          <a:noFill/>
        </a:ln>
        <a:effectLst/>
      </c:spPr>
    </c:plotArea>
    <c:legend>
      <c:legendPos val="b"/>
      <c:layout>
        <c:manualLayout>
          <c:xMode val="edge"/>
          <c:yMode val="edge"/>
          <c:x val="0.24018609528593801"/>
          <c:y val="0.91940108837746604"/>
          <c:w val="0.51962750423380799"/>
          <c:h val="6.5154896178518204E-2"/>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Cash</a:t>
            </a:r>
            <a:r>
              <a:rPr lang="en-US" baseline="0"/>
              <a:t> </a:t>
            </a:r>
            <a:r>
              <a:rPr lang="en-US"/>
              <a:t>flow 1</a:t>
            </a:r>
          </a:p>
          <a:p>
            <a:pPr>
              <a:defRPr/>
            </a:pPr>
            <a:r>
              <a:rPr lang="en-US"/>
              <a:t> </a:t>
            </a:r>
          </a:p>
        </c:rich>
      </c:tx>
      <c:layout>
        <c:manualLayout>
          <c:xMode val="edge"/>
          <c:yMode val="edge"/>
          <c:x val="0.44267716535433099"/>
          <c:y val="1.54838646750867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871223288869699"/>
          <c:y val="7.3373601180113698E-2"/>
          <c:w val="0.78543764523625104"/>
          <c:h val="0.72126981787141597"/>
        </c:manualLayout>
      </c:layout>
      <c:lineChart>
        <c:grouping val="standard"/>
        <c:varyColors val="0"/>
        <c:ser>
          <c:idx val="0"/>
          <c:order val="0"/>
          <c:tx>
            <c:strRef>
              <c:f>'4. Cash flow '!$F$9</c:f>
              <c:strCache>
                <c:ptCount val="1"/>
                <c:pt idx="0">
                  <c:v>Cashflow_1</c:v>
                </c:pt>
              </c:strCache>
            </c:strRef>
          </c:tx>
          <c:spPr>
            <a:ln w="28575" cap="rnd">
              <a:solidFill>
                <a:srgbClr val="92D05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317D-4CB0-B191-80FB9B2B9F9C}"/>
            </c:ext>
          </c:extLst>
        </c:ser>
        <c:ser>
          <c:idx val="1"/>
          <c:order val="1"/>
          <c:tx>
            <c:strRef>
              <c:f>'4. Cash flow '!$H$9</c:f>
              <c:strCache>
                <c:ptCount val="1"/>
                <c:pt idx="0">
                  <c:v>Cashflow_1_Option 1. Energy/water prices change</c:v>
                </c:pt>
              </c:strCache>
            </c:strRef>
          </c:tx>
          <c:spPr>
            <a:ln w="28575" cap="rnd">
              <a:solidFill>
                <a:srgbClr val="7030A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1-317D-4CB0-B191-80FB9B2B9F9C}"/>
            </c:ext>
          </c:extLst>
        </c:ser>
        <c:ser>
          <c:idx val="2"/>
          <c:order val="2"/>
          <c:tx>
            <c:strRef>
              <c:f>'4. Cash flow '!$J$9</c:f>
              <c:strCache>
                <c:ptCount val="1"/>
                <c:pt idx="0">
                  <c:v>Cashflow_1 Option 2. Energy/water prices change</c:v>
                </c:pt>
              </c:strCache>
            </c:strRef>
          </c:tx>
          <c:spPr>
            <a:ln w="28575" cap="rnd">
              <a:solidFill>
                <a:schemeClr val="accent3">
                  <a:lumMod val="75000"/>
                </a:schemeClr>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2-317D-4CB0-B191-80FB9B2B9F9C}"/>
            </c:ext>
          </c:extLst>
        </c:ser>
        <c:dLbls>
          <c:showLegendKey val="0"/>
          <c:showVal val="0"/>
          <c:showCatName val="0"/>
          <c:showSerName val="0"/>
          <c:showPercent val="0"/>
          <c:showBubbleSize val="0"/>
        </c:dLbls>
        <c:smooth val="0"/>
        <c:axId val="460057856"/>
        <c:axId val="460060992"/>
      </c:lineChart>
      <c:catAx>
        <c:axId val="460057856"/>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332853941202496"/>
              <c:y val="0.735898263974743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730" b="0" i="0" u="none" strike="noStrike" kern="1200" spc="-100" baseline="0">
                <a:solidFill>
                  <a:schemeClr val="tx1">
                    <a:lumMod val="65000"/>
                    <a:lumOff val="35000"/>
                  </a:schemeClr>
                </a:solidFill>
                <a:latin typeface="+mn-lt"/>
                <a:ea typeface="+mn-ea"/>
                <a:cs typeface="+mn-cs"/>
              </a:defRPr>
            </a:pPr>
            <a:endParaRPr lang="fi-FI"/>
          </a:p>
        </c:txPr>
        <c:crossAx val="460060992"/>
        <c:crosses val="autoZero"/>
        <c:auto val="1"/>
        <c:lblAlgn val="ctr"/>
        <c:lblOffset val="100"/>
        <c:noMultiLvlLbl val="1"/>
      </c:catAx>
      <c:valAx>
        <c:axId val="460060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2.7483550857512699E-3"/>
              <c:y val="3.9149295480884498E-3"/>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7856"/>
        <c:crosses val="autoZero"/>
        <c:crossBetween val="between"/>
      </c:valAx>
      <c:spPr>
        <a:noFill/>
        <a:ln>
          <a:noFill/>
        </a:ln>
        <a:effectLst/>
      </c:spPr>
    </c:plotArea>
    <c:legend>
      <c:legendPos val="b"/>
      <c:layout>
        <c:manualLayout>
          <c:xMode val="edge"/>
          <c:yMode val="edge"/>
          <c:x val="5.7361665408262298E-2"/>
          <c:y val="0.82213421946109899"/>
          <c:w val="0.88479967401335102"/>
          <c:h val="0.148836234920176"/>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Cash flow 2</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7200363323568499"/>
          <c:y val="0.14849902534113099"/>
          <c:w val="0.79968575900594296"/>
          <c:h val="0.68777710349478205"/>
        </c:manualLayout>
      </c:layout>
      <c:lineChart>
        <c:grouping val="standard"/>
        <c:varyColors val="0"/>
        <c:ser>
          <c:idx val="0"/>
          <c:order val="0"/>
          <c:tx>
            <c:strRef>
              <c:f>'4. Cash flow '!$G$9</c:f>
              <c:strCache>
                <c:ptCount val="1"/>
                <c:pt idx="0">
                  <c:v>Cashflow_2</c:v>
                </c:pt>
              </c:strCache>
            </c:strRef>
          </c:tx>
          <c:spPr>
            <a:ln w="28575" cap="rnd">
              <a:solidFill>
                <a:srgbClr val="92D05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-595000</c:v>
                </c:pt>
                <c:pt idx="1">
                  <c:v>-556600</c:v>
                </c:pt>
                <c:pt idx="2">
                  <c:v>-517432</c:v>
                </c:pt>
                <c:pt idx="3">
                  <c:v>-477480.64</c:v>
                </c:pt>
                <c:pt idx="4">
                  <c:v>-436730.25280000002</c:v>
                </c:pt>
                <c:pt idx="5">
                  <c:v>-395164.85785600002</c:v>
                </c:pt>
                <c:pt idx="6">
                  <c:v>-352768.15501312003</c:v>
                </c:pt>
                <c:pt idx="7">
                  <c:v>-309523.51811338245</c:v>
                </c:pt>
                <c:pt idx="8">
                  <c:v>-265413.98847565008</c:v>
                </c:pt>
                <c:pt idx="9">
                  <c:v>-220422.26824516308</c:v>
                </c:pt>
                <c:pt idx="10">
                  <c:v>-174530.71361006633</c:v>
                </c:pt>
                <c:pt idx="11">
                  <c:v>-127721.32788226767</c:v>
                </c:pt>
                <c:pt idx="12">
                  <c:v>-79975.754439913013</c:v>
                </c:pt>
                <c:pt idx="13">
                  <c:v>-31275.269528711273</c:v>
                </c:pt>
                <c:pt idx="14">
                  <c:v>18399.225080714503</c:v>
                </c:pt>
                <c:pt idx="15">
                  <c:v>68699.225080714503</c:v>
                </c:pt>
                <c:pt idx="16">
                  <c:v>118999.2250807145</c:v>
                </c:pt>
                <c:pt idx="17">
                  <c:v>169299.2250807145</c:v>
                </c:pt>
                <c:pt idx="18">
                  <c:v>219599.2250807145</c:v>
                </c:pt>
                <c:pt idx="19">
                  <c:v>269899.2250807145</c:v>
                </c:pt>
                <c:pt idx="20">
                  <c:v>320199.2250807145</c:v>
                </c:pt>
              </c:numCache>
            </c:numRef>
          </c:val>
          <c:smooth val="0"/>
          <c:extLst>
            <c:ext xmlns:c16="http://schemas.microsoft.com/office/drawing/2014/chart" uri="{C3380CC4-5D6E-409C-BE32-E72D297353CC}">
              <c16:uniqueId val="{00000000-F905-4D68-8CB3-931AE628CB81}"/>
            </c:ext>
          </c:extLst>
        </c:ser>
        <c:ser>
          <c:idx val="1"/>
          <c:order val="1"/>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-595000</c:v>
                </c:pt>
                <c:pt idx="1">
                  <c:v>-556600</c:v>
                </c:pt>
                <c:pt idx="2">
                  <c:v>-515713</c:v>
                </c:pt>
                <c:pt idx="3">
                  <c:v>-472237.69</c:v>
                </c:pt>
                <c:pt idx="4">
                  <c:v>-426069.18670000002</c:v>
                </c:pt>
                <c:pt idx="5">
                  <c:v>-377098.91562099999</c:v>
                </c:pt>
                <c:pt idx="6">
                  <c:v>-325214.48947602999</c:v>
                </c:pt>
                <c:pt idx="7">
                  <c:v>-270299.58267443883</c:v>
                </c:pt>
                <c:pt idx="8">
                  <c:v>-212233.80183908253</c:v>
                </c:pt>
                <c:pt idx="9">
                  <c:v>-150892.55221235377</c:v>
                </c:pt>
                <c:pt idx="10">
                  <c:v>-86146.8998231851</c:v>
                </c:pt>
                <c:pt idx="11">
                  <c:v>-17863.42928323058</c:v>
                </c:pt>
                <c:pt idx="12">
                  <c:v>54095.902923615577</c:v>
                </c:pt>
                <c:pt idx="13">
                  <c:v>128792.00173990167</c:v>
                </c:pt>
                <c:pt idx="14">
                  <c:v>205938.98352067632</c:v>
                </c:pt>
                <c:pt idx="15">
                  <c:v>285610.37475487427</c:v>
                </c:pt>
                <c:pt idx="16">
                  <c:v>367881.90772609808</c:v>
                </c:pt>
                <c:pt idx="17">
                  <c:v>452831.58668645861</c:v>
                </c:pt>
                <c:pt idx="18">
                  <c:v>540539.75601562997</c:v>
                </c:pt>
                <c:pt idx="19">
                  <c:v>631089.1704246765</c:v>
                </c:pt>
                <c:pt idx="20">
                  <c:v>724565.06726599438</c:v>
                </c:pt>
              </c:numCache>
            </c:numRef>
          </c:val>
          <c:smooth val="0"/>
          <c:extLst>
            <c:ext xmlns:c16="http://schemas.microsoft.com/office/drawing/2014/chart" uri="{C3380CC4-5D6E-409C-BE32-E72D297353CC}">
              <c16:uniqueId val="{00000001-F905-4D68-8CB3-931AE628CB81}"/>
            </c:ext>
          </c:extLst>
        </c:ser>
        <c:ser>
          <c:idx val="2"/>
          <c:order val="2"/>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-595000</c:v>
                </c:pt>
                <c:pt idx="1">
                  <c:v>-556600</c:v>
                </c:pt>
                <c:pt idx="2">
                  <c:v>-513994</c:v>
                </c:pt>
                <c:pt idx="3">
                  <c:v>-466891.60000000003</c:v>
                </c:pt>
                <c:pt idx="4">
                  <c:v>-414984.21519999998</c:v>
                </c:pt>
                <c:pt idx="5">
                  <c:v>-357943.96969599993</c:v>
                </c:pt>
                <c:pt idx="6">
                  <c:v>-295422.52349343989</c:v>
                </c:pt>
                <c:pt idx="7">
                  <c:v>-227049.82883103989</c:v>
                </c:pt>
                <c:pt idx="8">
                  <c:v>-152432.8115674557</c:v>
                </c:pt>
                <c:pt idx="9">
                  <c:v>-71153.973128187557</c:v>
                </c:pt>
                <c:pt idx="10">
                  <c:v>17230.091760103001</c:v>
                </c:pt>
                <c:pt idx="11">
                  <c:v>112845.66477200859</c:v>
                </c:pt>
                <c:pt idx="12">
                  <c:v>214618.17216462852</c:v>
                </c:pt>
                <c:pt idx="13">
                  <c:v>322917.03000080568</c:v>
                </c:pt>
                <c:pt idx="14">
                  <c:v>438133.8193071534</c:v>
                </c:pt>
                <c:pt idx="15">
                  <c:v>560683.61597188213</c:v>
                </c:pt>
                <c:pt idx="16">
                  <c:v>691006.4004364945</c:v>
                </c:pt>
                <c:pt idx="17">
                  <c:v>829568.55196898361</c:v>
                </c:pt>
                <c:pt idx="18">
                  <c:v>976864.43259342213</c:v>
                </c:pt>
                <c:pt idx="19">
                  <c:v>1133418.0660553267</c:v>
                </c:pt>
                <c:pt idx="20">
                  <c:v>1299784.9175249459</c:v>
                </c:pt>
              </c:numCache>
            </c:numRef>
          </c:val>
          <c:smooth val="0"/>
          <c:extLst>
            <c:ext xmlns:c16="http://schemas.microsoft.com/office/drawing/2014/chart" uri="{C3380CC4-5D6E-409C-BE32-E72D297353CC}">
              <c16:uniqueId val="{00000002-F905-4D68-8CB3-931AE628CB81}"/>
            </c:ext>
          </c:extLst>
        </c:ser>
        <c:dLbls>
          <c:showLegendKey val="0"/>
          <c:showVal val="0"/>
          <c:showCatName val="0"/>
          <c:showSerName val="0"/>
          <c:showPercent val="0"/>
          <c:showBubbleSize val="0"/>
        </c:dLbls>
        <c:smooth val="0"/>
        <c:axId val="460053936"/>
        <c:axId val="460054328"/>
      </c:lineChart>
      <c:catAx>
        <c:axId val="460053936"/>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581744795269604"/>
              <c:y val="0.75989225031081697"/>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700" b="0" i="0" u="none" strike="noStrike" kern="1200" spc="-100" baseline="0">
                <a:solidFill>
                  <a:schemeClr val="tx1">
                    <a:lumMod val="65000"/>
                    <a:lumOff val="35000"/>
                  </a:schemeClr>
                </a:solidFill>
                <a:latin typeface="+mn-lt"/>
                <a:ea typeface="+mn-ea"/>
                <a:cs typeface="+mn-cs"/>
              </a:defRPr>
            </a:pPr>
            <a:endParaRPr lang="fi-FI"/>
          </a:p>
        </c:txPr>
        <c:crossAx val="460054328"/>
        <c:crosses val="autoZero"/>
        <c:auto val="1"/>
        <c:lblAlgn val="ctr"/>
        <c:lblOffset val="100"/>
        <c:noMultiLvlLbl val="1"/>
      </c:catAx>
      <c:valAx>
        <c:axId val="460054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
              <c:y val="6.5184878206013694E-2"/>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3936"/>
        <c:crosses val="autoZero"/>
        <c:crossBetween val="between"/>
      </c:valAx>
      <c:spPr>
        <a:noFill/>
        <a:ln>
          <a:noFill/>
        </a:ln>
        <a:effectLst/>
      </c:spPr>
    </c:plotArea>
    <c:legend>
      <c:legendPos val="b"/>
      <c:layout>
        <c:manualLayout>
          <c:xMode val="edge"/>
          <c:yMode val="edge"/>
          <c:x val="5.8497981869913299E-2"/>
          <c:y val="0.85685063771002501"/>
          <c:w val="0.89260973394368504"/>
          <c:h val="0.123656255401818"/>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Cash flow, Both measures</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'4. Cash flow '!$F$9</c:f>
              <c:strCache>
                <c:ptCount val="1"/>
                <c:pt idx="0">
                  <c:v>Cashflow_1</c:v>
                </c:pt>
              </c:strCache>
            </c:strRef>
          </c:tx>
          <c:spPr>
            <a:ln w="28575" cap="rnd">
              <a:solidFill>
                <a:srgbClr val="92D05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BB3F-41A2-B7CE-308268894FCF}"/>
            </c:ext>
          </c:extLst>
        </c:ser>
        <c:ser>
          <c:idx val="1"/>
          <c:order val="1"/>
          <c:tx>
            <c:strRef>
              <c:f>'4. Cash flow '!$G$9</c:f>
              <c:strCache>
                <c:ptCount val="1"/>
                <c:pt idx="0">
                  <c:v>Cashflow_2</c:v>
                </c:pt>
              </c:strCache>
            </c:strRef>
          </c:tx>
          <c:spPr>
            <a:ln w="28575" cap="rnd">
              <a:solidFill>
                <a:srgbClr val="92D05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-595000</c:v>
                </c:pt>
                <c:pt idx="1">
                  <c:v>-556600</c:v>
                </c:pt>
                <c:pt idx="2">
                  <c:v>-517432</c:v>
                </c:pt>
                <c:pt idx="3">
                  <c:v>-477480.64</c:v>
                </c:pt>
                <c:pt idx="4">
                  <c:v>-436730.25280000002</c:v>
                </c:pt>
                <c:pt idx="5">
                  <c:v>-395164.85785600002</c:v>
                </c:pt>
                <c:pt idx="6">
                  <c:v>-352768.15501312003</c:v>
                </c:pt>
                <c:pt idx="7">
                  <c:v>-309523.51811338245</c:v>
                </c:pt>
                <c:pt idx="8">
                  <c:v>-265413.98847565008</c:v>
                </c:pt>
                <c:pt idx="9">
                  <c:v>-220422.26824516308</c:v>
                </c:pt>
                <c:pt idx="10">
                  <c:v>-174530.71361006633</c:v>
                </c:pt>
                <c:pt idx="11">
                  <c:v>-127721.32788226767</c:v>
                </c:pt>
                <c:pt idx="12">
                  <c:v>-79975.754439913013</c:v>
                </c:pt>
                <c:pt idx="13">
                  <c:v>-31275.269528711273</c:v>
                </c:pt>
                <c:pt idx="14">
                  <c:v>18399.225080714503</c:v>
                </c:pt>
                <c:pt idx="15">
                  <c:v>68699.225080714503</c:v>
                </c:pt>
                <c:pt idx="16">
                  <c:v>118999.2250807145</c:v>
                </c:pt>
                <c:pt idx="17">
                  <c:v>169299.2250807145</c:v>
                </c:pt>
                <c:pt idx="18">
                  <c:v>219599.2250807145</c:v>
                </c:pt>
                <c:pt idx="19">
                  <c:v>269899.2250807145</c:v>
                </c:pt>
                <c:pt idx="20">
                  <c:v>320199.2250807145</c:v>
                </c:pt>
              </c:numCache>
            </c:numRef>
          </c:val>
          <c:smooth val="0"/>
          <c:extLst>
            <c:ext xmlns:c16="http://schemas.microsoft.com/office/drawing/2014/chart" uri="{C3380CC4-5D6E-409C-BE32-E72D297353CC}">
              <c16:uniqueId val="{00000001-BB3F-41A2-B7CE-308268894FCF}"/>
            </c:ext>
          </c:extLst>
        </c:ser>
        <c:ser>
          <c:idx val="2"/>
          <c:order val="2"/>
          <c:tx>
            <c:strRef>
              <c:f>'4. Cash flow '!$H$9</c:f>
              <c:strCache>
                <c:ptCount val="1"/>
                <c:pt idx="0">
                  <c:v>Cashflow_1_Option 1. Energy/water prices change</c:v>
                </c:pt>
              </c:strCache>
            </c:strRef>
          </c:tx>
          <c:spPr>
            <a:ln w="28575" cap="rnd">
              <a:solidFill>
                <a:srgbClr val="7030A0"/>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2-BB3F-41A2-B7CE-308268894FCF}"/>
            </c:ext>
          </c:extLst>
        </c:ser>
        <c:ser>
          <c:idx val="3"/>
          <c:order val="3"/>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-595000</c:v>
                </c:pt>
                <c:pt idx="1">
                  <c:v>-556600</c:v>
                </c:pt>
                <c:pt idx="2">
                  <c:v>-515713</c:v>
                </c:pt>
                <c:pt idx="3">
                  <c:v>-472237.69</c:v>
                </c:pt>
                <c:pt idx="4">
                  <c:v>-426069.18670000002</c:v>
                </c:pt>
                <c:pt idx="5">
                  <c:v>-377098.91562099999</c:v>
                </c:pt>
                <c:pt idx="6">
                  <c:v>-325214.48947602999</c:v>
                </c:pt>
                <c:pt idx="7">
                  <c:v>-270299.58267443883</c:v>
                </c:pt>
                <c:pt idx="8">
                  <c:v>-212233.80183908253</c:v>
                </c:pt>
                <c:pt idx="9">
                  <c:v>-150892.55221235377</c:v>
                </c:pt>
                <c:pt idx="10">
                  <c:v>-86146.8998231851</c:v>
                </c:pt>
                <c:pt idx="11">
                  <c:v>-17863.42928323058</c:v>
                </c:pt>
                <c:pt idx="12">
                  <c:v>54095.902923615577</c:v>
                </c:pt>
                <c:pt idx="13">
                  <c:v>128792.00173990167</c:v>
                </c:pt>
                <c:pt idx="14">
                  <c:v>205938.98352067632</c:v>
                </c:pt>
                <c:pt idx="15">
                  <c:v>285610.37475487427</c:v>
                </c:pt>
                <c:pt idx="16">
                  <c:v>367881.90772609808</c:v>
                </c:pt>
                <c:pt idx="17">
                  <c:v>452831.58668645861</c:v>
                </c:pt>
                <c:pt idx="18">
                  <c:v>540539.75601562997</c:v>
                </c:pt>
                <c:pt idx="19">
                  <c:v>631089.1704246765</c:v>
                </c:pt>
                <c:pt idx="20">
                  <c:v>724565.06726599438</c:v>
                </c:pt>
              </c:numCache>
            </c:numRef>
          </c:val>
          <c:smooth val="0"/>
          <c:extLst>
            <c:ext xmlns:c16="http://schemas.microsoft.com/office/drawing/2014/chart" uri="{C3380CC4-5D6E-409C-BE32-E72D297353CC}">
              <c16:uniqueId val="{00000003-BB3F-41A2-B7CE-308268894FCF}"/>
            </c:ext>
          </c:extLst>
        </c:ser>
        <c:ser>
          <c:idx val="4"/>
          <c:order val="4"/>
          <c:tx>
            <c:strRef>
              <c:f>'4. Cash flow '!$J$9</c:f>
              <c:strCache>
                <c:ptCount val="1"/>
                <c:pt idx="0">
                  <c:v>Cashflow_1 Option 2. Energy/water prices change</c:v>
                </c:pt>
              </c:strCache>
            </c:strRef>
          </c:tx>
          <c:spPr>
            <a:ln w="28575" cap="rnd">
              <a:solidFill>
                <a:schemeClr val="bg2">
                  <a:lumMod val="50000"/>
                </a:schemeClr>
              </a:solidFill>
              <a:prstDash val="solid"/>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4-BB3F-41A2-B7CE-308268894FCF}"/>
            </c:ext>
          </c:extLst>
        </c:ser>
        <c:ser>
          <c:idx val="5"/>
          <c:order val="5"/>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[0]!Year_cf_biggest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-595000</c:v>
                </c:pt>
                <c:pt idx="1">
                  <c:v>-556600</c:v>
                </c:pt>
                <c:pt idx="2">
                  <c:v>-513994</c:v>
                </c:pt>
                <c:pt idx="3">
                  <c:v>-466891.60000000003</c:v>
                </c:pt>
                <c:pt idx="4">
                  <c:v>-414984.21519999998</c:v>
                </c:pt>
                <c:pt idx="5">
                  <c:v>-357943.96969599993</c:v>
                </c:pt>
                <c:pt idx="6">
                  <c:v>-295422.52349343989</c:v>
                </c:pt>
                <c:pt idx="7">
                  <c:v>-227049.82883103989</c:v>
                </c:pt>
                <c:pt idx="8">
                  <c:v>-152432.8115674557</c:v>
                </c:pt>
                <c:pt idx="9">
                  <c:v>-71153.973128187557</c:v>
                </c:pt>
                <c:pt idx="10">
                  <c:v>17230.091760103001</c:v>
                </c:pt>
                <c:pt idx="11">
                  <c:v>112845.66477200859</c:v>
                </c:pt>
                <c:pt idx="12">
                  <c:v>214618.17216462852</c:v>
                </c:pt>
                <c:pt idx="13">
                  <c:v>322917.03000080568</c:v>
                </c:pt>
                <c:pt idx="14">
                  <c:v>438133.8193071534</c:v>
                </c:pt>
                <c:pt idx="15">
                  <c:v>560683.61597188213</c:v>
                </c:pt>
                <c:pt idx="16">
                  <c:v>691006.4004364945</c:v>
                </c:pt>
                <c:pt idx="17">
                  <c:v>829568.55196898361</c:v>
                </c:pt>
                <c:pt idx="18">
                  <c:v>976864.43259342213</c:v>
                </c:pt>
                <c:pt idx="19">
                  <c:v>1133418.0660553267</c:v>
                </c:pt>
                <c:pt idx="20">
                  <c:v>1299784.9175249459</c:v>
                </c:pt>
              </c:numCache>
            </c:numRef>
          </c:val>
          <c:smooth val="0"/>
          <c:extLst>
            <c:ext xmlns:c16="http://schemas.microsoft.com/office/drawing/2014/chart" uri="{C3380CC4-5D6E-409C-BE32-E72D297353CC}">
              <c16:uniqueId val="{00000005-BB3F-41A2-B7CE-308268894FCF}"/>
            </c:ext>
          </c:extLst>
        </c:ser>
        <c:dLbls>
          <c:showLegendKey val="0"/>
          <c:showVal val="0"/>
          <c:showCatName val="0"/>
          <c:showSerName val="0"/>
          <c:showPercent val="0"/>
          <c:showBubbleSize val="0"/>
        </c:dLbls>
        <c:smooth val="0"/>
        <c:axId val="460056288"/>
        <c:axId val="460056680"/>
      </c:lineChart>
      <c:catAx>
        <c:axId val="46005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6680"/>
        <c:crosses val="autoZero"/>
        <c:auto val="1"/>
        <c:lblAlgn val="ctr"/>
        <c:lblOffset val="100"/>
        <c:noMultiLvlLbl val="0"/>
      </c:catAx>
      <c:valAx>
        <c:axId val="46005668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6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Net Present value NPV 1</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20842566897658801"/>
          <c:y val="0.119764959449999"/>
          <c:w val="0.76402874511152397"/>
          <c:h val="0.65298197865126995"/>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DD35-444F-A5CF-718C0A1D13C9}"/>
            </c:ext>
          </c:extLst>
        </c:ser>
        <c:ser>
          <c:idx val="1"/>
          <c:order val="1"/>
          <c:tx>
            <c:strRef>
              <c:f>'5. NPV'!$H$9</c:f>
              <c:strCache>
                <c:ptCount val="1"/>
                <c:pt idx="0">
                  <c:v>NPV_1 Option 1. Energy/water prices change</c:v>
                </c:pt>
              </c:strCache>
            </c:strRef>
          </c:tx>
          <c:spPr>
            <a:ln w="28575" cap="rnd">
              <a:solidFill>
                <a:srgbClr val="7030A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1-DD35-444F-A5CF-718C0A1D13C9}"/>
            </c:ext>
          </c:extLst>
        </c:ser>
        <c:ser>
          <c:idx val="2"/>
          <c:order val="2"/>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2-DD35-444F-A5CF-718C0A1D13C9}"/>
            </c:ext>
          </c:extLst>
        </c:ser>
        <c:dLbls>
          <c:showLegendKey val="0"/>
          <c:showVal val="0"/>
          <c:showCatName val="0"/>
          <c:showSerName val="0"/>
          <c:showPercent val="0"/>
          <c:showBubbleSize val="0"/>
        </c:dLbls>
        <c:smooth val="0"/>
        <c:axId val="458876272"/>
        <c:axId val="458879800"/>
      </c:lineChart>
      <c:catAx>
        <c:axId val="458876272"/>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734765942067598"/>
              <c:y val="0.54097870633303702"/>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700" b="0" i="0" u="none" strike="noStrike" kern="1200" spc="-100" baseline="0">
                <a:solidFill>
                  <a:schemeClr val="tx1">
                    <a:lumMod val="65000"/>
                    <a:lumOff val="35000"/>
                  </a:schemeClr>
                </a:solidFill>
                <a:latin typeface="+mn-lt"/>
                <a:ea typeface="+mn-ea"/>
                <a:cs typeface="+mn-cs"/>
              </a:defRPr>
            </a:pPr>
            <a:endParaRPr lang="fi-FI"/>
          </a:p>
        </c:txPr>
        <c:crossAx val="458879800"/>
        <c:crosses val="autoZero"/>
        <c:auto val="1"/>
        <c:lblAlgn val="ctr"/>
        <c:lblOffset val="100"/>
        <c:noMultiLvlLbl val="0"/>
      </c:catAx>
      <c:valAx>
        <c:axId val="458879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6272"/>
        <c:crosses val="autoZero"/>
        <c:crossBetween val="between"/>
      </c:valAx>
      <c:spPr>
        <a:noFill/>
        <a:ln>
          <a:noFill/>
        </a:ln>
        <a:effectLst/>
      </c:spPr>
    </c:plotArea>
    <c:legend>
      <c:legendPos val="b"/>
      <c:layout>
        <c:manualLayout>
          <c:xMode val="edge"/>
          <c:yMode val="edge"/>
          <c:x val="0.19518892916533301"/>
          <c:y val="0.77971886381335198"/>
          <c:w val="0.58297324093648895"/>
          <c:h val="0.22028113618664799"/>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fi-FI"/>
              <a:t>Net present value NPV 2</a:t>
            </a:r>
          </a:p>
        </c:rich>
      </c:tx>
      <c:layout>
        <c:manualLayout>
          <c:xMode val="edge"/>
          <c:yMode val="edge"/>
          <c:x val="0.30716577540106899"/>
          <c:y val="2.8513238289205701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47228725420018"/>
          <c:y val="0.116332087816925"/>
          <c:w val="0.78440350167709405"/>
          <c:h val="0.59783056959536596"/>
        </c:manualLayout>
      </c:layout>
      <c:lineChart>
        <c:grouping val="standard"/>
        <c:varyColors val="0"/>
        <c:ser>
          <c:idx val="0"/>
          <c:order val="0"/>
          <c:tx>
            <c:strRef>
              <c:f>'5. NPV'!$G$9</c:f>
              <c:strCache>
                <c:ptCount val="1"/>
                <c:pt idx="0">
                  <c:v>NPV_2</c:v>
                </c:pt>
              </c:strCache>
            </c:strRef>
          </c:tx>
          <c:spPr>
            <a:ln w="28575" cap="rnd">
              <a:solidFill>
                <a:srgbClr val="92D05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-595000</c:v>
                </c:pt>
                <c:pt idx="1">
                  <c:v>-558076.92307692312</c:v>
                </c:pt>
                <c:pt idx="2">
                  <c:v>-521863.90532544383</c:v>
                </c:pt>
                <c:pt idx="3">
                  <c:v>-486347.29176149296</c:v>
                </c:pt>
                <c:pt idx="4">
                  <c:v>-451513.68999684887</c:v>
                </c:pt>
                <c:pt idx="5">
                  <c:v>-417349.96518921718</c:v>
                </c:pt>
                <c:pt idx="6">
                  <c:v>-383843.23508942453</c:v>
                </c:pt>
                <c:pt idx="7">
                  <c:v>-350980.86518385867</c:v>
                </c:pt>
                <c:pt idx="8">
                  <c:v>-318750.46393032291</c:v>
                </c:pt>
                <c:pt idx="9">
                  <c:v>-287139.878085509</c:v>
                </c:pt>
                <c:pt idx="10">
                  <c:v>-256137.18812232616</c:v>
                </c:pt>
                <c:pt idx="11">
                  <c:v>-225730.70373535837</c:v>
                </c:pt>
                <c:pt idx="12">
                  <c:v>-195908.95943275534</c:v>
                </c:pt>
                <c:pt idx="13">
                  <c:v>-166660.71021289469</c:v>
                </c:pt>
                <c:pt idx="14">
                  <c:v>-137974.92732418521</c:v>
                </c:pt>
                <c:pt idx="15">
                  <c:v>-110045.12283770749</c:v>
                </c:pt>
                <c:pt idx="16">
                  <c:v>-83189.541600709679</c:v>
                </c:pt>
                <c:pt idx="17">
                  <c:v>-57366.867334365641</c:v>
                </c:pt>
                <c:pt idx="18">
                  <c:v>-32537.372847496372</c:v>
                </c:pt>
                <c:pt idx="19">
                  <c:v>-8662.8589178143811</c:v>
                </c:pt>
                <c:pt idx="20">
                  <c:v>14293.404476110609</c:v>
                </c:pt>
              </c:numCache>
            </c:numRef>
          </c:val>
          <c:smooth val="0"/>
          <c:extLst>
            <c:ext xmlns:c16="http://schemas.microsoft.com/office/drawing/2014/chart" uri="{C3380CC4-5D6E-409C-BE32-E72D297353CC}">
              <c16:uniqueId val="{00000000-A064-4D1C-9F53-F9521AA51712}"/>
            </c:ext>
          </c:extLst>
        </c:ser>
        <c:ser>
          <c:idx val="1"/>
          <c:order val="1"/>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-595000</c:v>
                </c:pt>
                <c:pt idx="1">
                  <c:v>-558076.92307692312</c:v>
                </c:pt>
                <c:pt idx="2">
                  <c:v>-520274.59319526632</c:v>
                </c:pt>
                <c:pt idx="3">
                  <c:v>-481625.2009131771</c:v>
                </c:pt>
                <c:pt idx="4">
                  <c:v>-442160.17079876736</c:v>
                </c:pt>
                <c:pt idx="5">
                  <c:v>-401910.17757358373</c:v>
                </c:pt>
                <c:pt idx="6">
                  <c:v>-360905.161932041</c:v>
                </c:pt>
                <c:pt idx="7">
                  <c:v>-319174.34604318073</c:v>
                </c:pt>
                <c:pt idx="8">
                  <c:v>-276746.24874099396</c:v>
                </c:pt>
                <c:pt idx="9">
                  <c:v>-233648.70040942443</c:v>
                </c:pt>
                <c:pt idx="10">
                  <c:v>-189908.85756805161</c:v>
                </c:pt>
                <c:pt idx="11">
                  <c:v>-145553.21716433499</c:v>
                </c:pt>
                <c:pt idx="12">
                  <c:v>-100607.63057818712</c:v>
                </c:pt>
                <c:pt idx="13">
                  <c:v>-55747.089293770499</c:v>
                </c:pt>
                <c:pt idx="14">
                  <c:v>-11196.629600465305</c:v>
                </c:pt>
                <c:pt idx="15">
                  <c:v>33042.065833666362</c:v>
                </c:pt>
                <c:pt idx="16">
                  <c:v>76967.50991321</c:v>
                </c:pt>
                <c:pt idx="17">
                  <c:v>120578.40233515613</c:v>
                </c:pt>
                <c:pt idx="18">
                  <c:v>163873.62115845748</c:v>
                </c:pt>
                <c:pt idx="19">
                  <c:v>206852.21470981589</c:v>
                </c:pt>
                <c:pt idx="20">
                  <c:v>249513.39381265198</c:v>
                </c:pt>
              </c:numCache>
            </c:numRef>
          </c:val>
          <c:smooth val="0"/>
          <c:extLst>
            <c:ext xmlns:c16="http://schemas.microsoft.com/office/drawing/2014/chart" uri="{C3380CC4-5D6E-409C-BE32-E72D297353CC}">
              <c16:uniqueId val="{00000001-A064-4D1C-9F53-F9521AA51712}"/>
            </c:ext>
          </c:extLst>
        </c:ser>
        <c:ser>
          <c:idx val="2"/>
          <c:order val="2"/>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-595000</c:v>
                </c:pt>
                <c:pt idx="1">
                  <c:v>-558076.92307692312</c:v>
                </c:pt>
                <c:pt idx="2">
                  <c:v>-518685.28106508881</c:v>
                </c:pt>
                <c:pt idx="3">
                  <c:v>-476811.4189804279</c:v>
                </c:pt>
                <c:pt idx="4">
                  <c:v>-432440.7689079952</c:v>
                </c:pt>
                <c:pt idx="5">
                  <c:v>-385557.84495204932</c:v>
                </c:pt>
                <c:pt idx="6">
                  <c:v>-336146.23784851027</c:v>
                </c:pt>
                <c:pt idx="7">
                  <c:v>-284188.60923792684</c:v>
                </c:pt>
                <c:pt idx="8">
                  <c:v>-229666.68559696196</c:v>
                </c:pt>
                <c:pt idx="9">
                  <c:v>-172561.25182627738</c:v>
                </c:pt>
                <c:pt idx="10">
                  <c:v>-112852.14449257392</c:v>
                </c:pt>
                <c:pt idx="11">
                  <c:v>-50742.091503544638</c:v>
                </c:pt>
                <c:pt idx="12">
                  <c:v>12824.716342251137</c:v>
                </c:pt>
                <c:pt idx="13">
                  <c:v>77866.203916642626</c:v>
                </c:pt>
                <c:pt idx="14">
                  <c:v>144401.02886378835</c:v>
                </c:pt>
                <c:pt idx="15">
                  <c:v>212448.58076644182</c:v>
                </c:pt>
                <c:pt idx="16">
                  <c:v>282028.98087024206</c:v>
                </c:pt>
                <c:pt idx="17">
                  <c:v>353163.08235468081</c:v>
                </c:pt>
                <c:pt idx="18">
                  <c:v>425872.47114002972</c:v>
                </c:pt>
                <c:pt idx="19">
                  <c:v>500179.46722012066</c:v>
                </c:pt>
                <c:pt idx="20">
                  <c:v>576107.12651146401</c:v>
                </c:pt>
              </c:numCache>
            </c:numRef>
          </c:val>
          <c:smooth val="0"/>
          <c:extLst>
            <c:ext xmlns:c16="http://schemas.microsoft.com/office/drawing/2014/chart" uri="{C3380CC4-5D6E-409C-BE32-E72D297353CC}">
              <c16:uniqueId val="{00000002-A064-4D1C-9F53-F9521AA51712}"/>
            </c:ext>
          </c:extLst>
        </c:ser>
        <c:dLbls>
          <c:showLegendKey val="0"/>
          <c:showVal val="0"/>
          <c:showCatName val="0"/>
          <c:showSerName val="0"/>
          <c:showPercent val="0"/>
          <c:showBubbleSize val="0"/>
        </c:dLbls>
        <c:smooth val="0"/>
        <c:axId val="458879016"/>
        <c:axId val="458877056"/>
      </c:lineChart>
      <c:catAx>
        <c:axId val="458879016"/>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445012726883502"/>
              <c:y val="0.59826905924213802"/>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7056"/>
        <c:crosses val="autoZero"/>
        <c:auto val="1"/>
        <c:lblAlgn val="ctr"/>
        <c:lblOffset val="100"/>
        <c:noMultiLvlLbl val="0"/>
      </c:catAx>
      <c:valAx>
        <c:axId val="458877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9016"/>
        <c:crosses val="autoZero"/>
        <c:crossBetween val="between"/>
      </c:valAx>
      <c:spPr>
        <a:noFill/>
        <a:ln>
          <a:noFill/>
        </a:ln>
        <a:effectLst/>
      </c:spPr>
    </c:plotArea>
    <c:legend>
      <c:legendPos val="b"/>
      <c:layout>
        <c:manualLayout>
          <c:xMode val="edge"/>
          <c:yMode val="edge"/>
          <c:x val="0.244972209356183"/>
          <c:y val="0.71905030710265105"/>
          <c:w val="0.59294307128721202"/>
          <c:h val="0.27519219975303499"/>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Net</a:t>
            </a:r>
            <a:r>
              <a:rPr lang="en-US" baseline="0"/>
              <a:t> present value</a:t>
            </a:r>
            <a:r>
              <a:rPr lang="en-US"/>
              <a:t>, Both measures</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2DD6-4847-A255-911E78DAFC45}"/>
            </c:ext>
          </c:extLst>
        </c:ser>
        <c:ser>
          <c:idx val="1"/>
          <c:order val="1"/>
          <c:tx>
            <c:strRef>
              <c:f>'5. NPV'!$G$9</c:f>
              <c:strCache>
                <c:ptCount val="1"/>
                <c:pt idx="0">
                  <c:v>NPV_2</c:v>
                </c:pt>
              </c:strCache>
            </c:strRef>
          </c:tx>
          <c:spPr>
            <a:ln w="28575" cap="rnd">
              <a:solidFill>
                <a:srgbClr val="92D05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-595000</c:v>
                </c:pt>
                <c:pt idx="1">
                  <c:v>-558076.92307692312</c:v>
                </c:pt>
                <c:pt idx="2">
                  <c:v>-521863.90532544383</c:v>
                </c:pt>
                <c:pt idx="3">
                  <c:v>-486347.29176149296</c:v>
                </c:pt>
                <c:pt idx="4">
                  <c:v>-451513.68999684887</c:v>
                </c:pt>
                <c:pt idx="5">
                  <c:v>-417349.96518921718</c:v>
                </c:pt>
                <c:pt idx="6">
                  <c:v>-383843.23508942453</c:v>
                </c:pt>
                <c:pt idx="7">
                  <c:v>-350980.86518385867</c:v>
                </c:pt>
                <c:pt idx="8">
                  <c:v>-318750.46393032291</c:v>
                </c:pt>
                <c:pt idx="9">
                  <c:v>-287139.878085509</c:v>
                </c:pt>
                <c:pt idx="10">
                  <c:v>-256137.18812232616</c:v>
                </c:pt>
                <c:pt idx="11">
                  <c:v>-225730.70373535837</c:v>
                </c:pt>
                <c:pt idx="12">
                  <c:v>-195908.95943275534</c:v>
                </c:pt>
                <c:pt idx="13">
                  <c:v>-166660.71021289469</c:v>
                </c:pt>
                <c:pt idx="14">
                  <c:v>-137974.92732418521</c:v>
                </c:pt>
                <c:pt idx="15">
                  <c:v>-110045.12283770749</c:v>
                </c:pt>
                <c:pt idx="16">
                  <c:v>-83189.541600709679</c:v>
                </c:pt>
                <c:pt idx="17">
                  <c:v>-57366.867334365641</c:v>
                </c:pt>
                <c:pt idx="18">
                  <c:v>-32537.372847496372</c:v>
                </c:pt>
                <c:pt idx="19">
                  <c:v>-8662.8589178143811</c:v>
                </c:pt>
                <c:pt idx="20">
                  <c:v>14293.404476110609</c:v>
                </c:pt>
              </c:numCache>
            </c:numRef>
          </c:val>
          <c:smooth val="0"/>
          <c:extLst>
            <c:ext xmlns:c16="http://schemas.microsoft.com/office/drawing/2014/chart" uri="{C3380CC4-5D6E-409C-BE32-E72D297353CC}">
              <c16:uniqueId val="{00000001-2DD6-4847-A255-911E78DAFC45}"/>
            </c:ext>
          </c:extLst>
        </c:ser>
        <c:ser>
          <c:idx val="2"/>
          <c:order val="2"/>
          <c:tx>
            <c:strRef>
              <c:f>'5. NPV'!$H$9</c:f>
              <c:strCache>
                <c:ptCount val="1"/>
                <c:pt idx="0">
                  <c:v>NPV_1 Option 1. Energy/water prices change</c:v>
                </c:pt>
              </c:strCache>
            </c:strRef>
          </c:tx>
          <c:spPr>
            <a:ln w="28575" cap="rnd">
              <a:solidFill>
                <a:srgbClr val="7030A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2-2DD6-4847-A255-911E78DAFC45}"/>
            </c:ext>
          </c:extLst>
        </c:ser>
        <c:ser>
          <c:idx val="3"/>
          <c:order val="3"/>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-595000</c:v>
                </c:pt>
                <c:pt idx="1">
                  <c:v>-558076.92307692312</c:v>
                </c:pt>
                <c:pt idx="2">
                  <c:v>-520274.59319526632</c:v>
                </c:pt>
                <c:pt idx="3">
                  <c:v>-481625.2009131771</c:v>
                </c:pt>
                <c:pt idx="4">
                  <c:v>-442160.17079876736</c:v>
                </c:pt>
                <c:pt idx="5">
                  <c:v>-401910.17757358373</c:v>
                </c:pt>
                <c:pt idx="6">
                  <c:v>-360905.161932041</c:v>
                </c:pt>
                <c:pt idx="7">
                  <c:v>-319174.34604318073</c:v>
                </c:pt>
                <c:pt idx="8">
                  <c:v>-276746.24874099396</c:v>
                </c:pt>
                <c:pt idx="9">
                  <c:v>-233648.70040942443</c:v>
                </c:pt>
                <c:pt idx="10">
                  <c:v>-189908.85756805161</c:v>
                </c:pt>
                <c:pt idx="11">
                  <c:v>-145553.21716433499</c:v>
                </c:pt>
                <c:pt idx="12">
                  <c:v>-100607.63057818712</c:v>
                </c:pt>
                <c:pt idx="13">
                  <c:v>-55747.089293770499</c:v>
                </c:pt>
                <c:pt idx="14">
                  <c:v>-11196.629600465305</c:v>
                </c:pt>
                <c:pt idx="15">
                  <c:v>33042.065833666362</c:v>
                </c:pt>
                <c:pt idx="16">
                  <c:v>76967.50991321</c:v>
                </c:pt>
                <c:pt idx="17">
                  <c:v>120578.40233515613</c:v>
                </c:pt>
                <c:pt idx="18">
                  <c:v>163873.62115845748</c:v>
                </c:pt>
                <c:pt idx="19">
                  <c:v>206852.21470981589</c:v>
                </c:pt>
                <c:pt idx="20">
                  <c:v>249513.39381265198</c:v>
                </c:pt>
              </c:numCache>
            </c:numRef>
          </c:val>
          <c:smooth val="0"/>
          <c:extLst>
            <c:ext xmlns:c16="http://schemas.microsoft.com/office/drawing/2014/chart" uri="{C3380CC4-5D6E-409C-BE32-E72D297353CC}">
              <c16:uniqueId val="{00000003-2DD6-4847-A255-911E78DAFC45}"/>
            </c:ext>
          </c:extLst>
        </c:ser>
        <c:ser>
          <c:idx val="4"/>
          <c:order val="4"/>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4-2DD6-4847-A255-911E78DAFC45}"/>
            </c:ext>
          </c:extLst>
        </c:ser>
        <c:ser>
          <c:idx val="5"/>
          <c:order val="5"/>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-595000</c:v>
                </c:pt>
                <c:pt idx="1">
                  <c:v>-558076.92307692312</c:v>
                </c:pt>
                <c:pt idx="2">
                  <c:v>-518685.28106508881</c:v>
                </c:pt>
                <c:pt idx="3">
                  <c:v>-476811.4189804279</c:v>
                </c:pt>
                <c:pt idx="4">
                  <c:v>-432440.7689079952</c:v>
                </c:pt>
                <c:pt idx="5">
                  <c:v>-385557.84495204932</c:v>
                </c:pt>
                <c:pt idx="6">
                  <c:v>-336146.23784851027</c:v>
                </c:pt>
                <c:pt idx="7">
                  <c:v>-284188.60923792684</c:v>
                </c:pt>
                <c:pt idx="8">
                  <c:v>-229666.68559696196</c:v>
                </c:pt>
                <c:pt idx="9">
                  <c:v>-172561.25182627738</c:v>
                </c:pt>
                <c:pt idx="10">
                  <c:v>-112852.14449257392</c:v>
                </c:pt>
                <c:pt idx="11">
                  <c:v>-50742.091503544638</c:v>
                </c:pt>
                <c:pt idx="12">
                  <c:v>12824.716342251137</c:v>
                </c:pt>
                <c:pt idx="13">
                  <c:v>77866.203916642626</c:v>
                </c:pt>
                <c:pt idx="14">
                  <c:v>144401.02886378835</c:v>
                </c:pt>
                <c:pt idx="15">
                  <c:v>212448.58076644182</c:v>
                </c:pt>
                <c:pt idx="16">
                  <c:v>282028.98087024206</c:v>
                </c:pt>
                <c:pt idx="17">
                  <c:v>353163.08235468081</c:v>
                </c:pt>
                <c:pt idx="18">
                  <c:v>425872.47114002972</c:v>
                </c:pt>
                <c:pt idx="19">
                  <c:v>500179.46722012066</c:v>
                </c:pt>
                <c:pt idx="20">
                  <c:v>576107.12651146401</c:v>
                </c:pt>
              </c:numCache>
            </c:numRef>
          </c:val>
          <c:smooth val="0"/>
          <c:extLst>
            <c:ext xmlns:c16="http://schemas.microsoft.com/office/drawing/2014/chart" uri="{C3380CC4-5D6E-409C-BE32-E72D297353CC}">
              <c16:uniqueId val="{00000005-2DD6-4847-A255-911E78DAFC45}"/>
            </c:ext>
          </c:extLst>
        </c:ser>
        <c:dLbls>
          <c:showLegendKey val="0"/>
          <c:showVal val="0"/>
          <c:showCatName val="0"/>
          <c:showSerName val="0"/>
          <c:showPercent val="0"/>
          <c:showBubbleSize val="0"/>
        </c:dLbls>
        <c:smooth val="0"/>
        <c:axId val="458873920"/>
        <c:axId val="458875488"/>
      </c:lineChart>
      <c:catAx>
        <c:axId val="458873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5488"/>
        <c:crosses val="autoZero"/>
        <c:auto val="1"/>
        <c:lblAlgn val="ctr"/>
        <c:lblOffset val="100"/>
        <c:noMultiLvlLbl val="0"/>
      </c:catAx>
      <c:valAx>
        <c:axId val="458875488"/>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3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Return on Investment</a:t>
            </a:r>
          </a:p>
          <a:p>
            <a:pPr>
              <a:defRPr/>
            </a:pPr>
            <a:endParaRPr lang="en-US"/>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23233424583973"/>
          <c:y val="0.14392462791862001"/>
          <c:w val="0.82069190943422698"/>
          <c:h val="0.59592371762778196"/>
        </c:manualLayout>
      </c:layout>
      <c:lineChart>
        <c:grouping val="standard"/>
        <c:varyColors val="0"/>
        <c:ser>
          <c:idx val="0"/>
          <c:order val="0"/>
          <c:tx>
            <c:v>Return on Investment 1</c:v>
          </c:tx>
          <c:spPr>
            <a:ln w="28575" cap="rnd">
              <a:solidFill>
                <a:schemeClr val="accent1"/>
              </a:solidFill>
              <a:round/>
            </a:ln>
            <a:effectLst/>
          </c:spPr>
          <c:marker>
            <c:symbol val="none"/>
          </c:marker>
          <c:val>
            <c:numRef>
              <c:f>'Solution 1, (hidden)'!$AD$5:$AD$55</c:f>
              <c:numCache>
                <c:formatCode>0%</c:formatCode>
                <c:ptCount val="51"/>
                <c:pt idx="0">
                  <c:v>0</c:v>
                </c:pt>
                <c:pt idx="1">
                  <c:v>4.1508951406649619E-2</c:v>
                </c:pt>
                <c:pt idx="2">
                  <c:v>8.384808184143222E-2</c:v>
                </c:pt>
                <c:pt idx="3">
                  <c:v>0.12703399488491049</c:v>
                </c:pt>
                <c:pt idx="4">
                  <c:v>0.17108362618925832</c:v>
                </c:pt>
                <c:pt idx="5">
                  <c:v>0.21601425011969308</c:v>
                </c:pt>
                <c:pt idx="6">
                  <c:v>0.26184348652873657</c:v>
                </c:pt>
                <c:pt idx="7">
                  <c:v>0.30858930766596093</c:v>
                </c:pt>
                <c:pt idx="8">
                  <c:v>0.35627004522592975</c:v>
                </c:pt>
                <c:pt idx="9">
                  <c:v>0.40490439753709795</c:v>
                </c:pt>
                <c:pt idx="10">
                  <c:v>0.45451143689448947</c:v>
                </c:pt>
                <c:pt idx="11">
                  <c:v>0.50511061703902893</c:v>
                </c:pt>
                <c:pt idx="12">
                  <c:v>0.55672178078645917</c:v>
                </c:pt>
                <c:pt idx="13">
                  <c:v>0.60936516780883798</c:v>
                </c:pt>
                <c:pt idx="14">
                  <c:v>0.66306142257166445</c:v>
                </c:pt>
                <c:pt idx="15">
                  <c:v>0.71783160242974731</c:v>
                </c:pt>
                <c:pt idx="16">
                  <c:v>0.77369718588499181</c:v>
                </c:pt>
                <c:pt idx="17">
                  <c:v>0.83068008100934132</c:v>
                </c:pt>
                <c:pt idx="18">
                  <c:v>0.88880263403617776</c:v>
                </c:pt>
                <c:pt idx="19">
                  <c:v>0.94808763812355101</c:v>
                </c:pt>
                <c:pt idx="20">
                  <c:v>1.0085583422926716</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numCache>
            </c:numRef>
          </c:val>
          <c:smooth val="0"/>
          <c:extLst>
            <c:ext xmlns:c15="http://schemas.microsoft.com/office/drawing/2012/chart" uri="{02D57815-91ED-43cb-92C2-25804820EDAC}">
              <c15:filteredCategoryTitle>
                <c15:cat>
                  <c:multiLvlStrRef>
                    <c:extLst>
                      <c:ext uri="{02D57815-91ED-43cb-92C2-25804820EDAC}">
                        <c15:formulaRef>
                          <c15:sqref>'5. Return on investment'!$J$4:$J$54</c15:sqref>
                        </c15:formulaRef>
                      </c:ext>
                    </c:extLst>
                  </c:multiLvlStrRef>
                </c15:cat>
              </c15:filteredCategoryTitle>
            </c:ext>
            <c:ext xmlns:c16="http://schemas.microsoft.com/office/drawing/2014/chart" uri="{C3380CC4-5D6E-409C-BE32-E72D297353CC}">
              <c16:uniqueId val="{00000000-29CC-43E7-A7D6-EBCDE4693414}"/>
            </c:ext>
          </c:extLst>
        </c:ser>
        <c:ser>
          <c:idx val="1"/>
          <c:order val="1"/>
          <c:tx>
            <c:v>Return on Investment 1, energy prices change</c:v>
          </c:tx>
          <c:spPr>
            <a:ln w="28575" cap="rnd">
              <a:solidFill>
                <a:srgbClr val="FF0000"/>
              </a:solidFill>
              <a:round/>
            </a:ln>
            <a:effectLst/>
          </c:spPr>
          <c:marker>
            <c:symbol val="none"/>
          </c:marker>
          <c:val>
            <c:numRef>
              <c:f>'Solution 1, (hidden)'!$AB$5:$AB$55</c:f>
              <c:numCache>
                <c:formatCode>0%</c:formatCode>
                <c:ptCount val="51"/>
                <c:pt idx="0">
                  <c:v>0</c:v>
                </c:pt>
                <c:pt idx="1">
                  <c:v>4.1508951406649619E-2</c:v>
                </c:pt>
                <c:pt idx="2">
                  <c:v>8.6046291560102295E-2</c:v>
                </c:pt>
                <c:pt idx="3">
                  <c:v>0.13373853452685422</c:v>
                </c:pt>
                <c:pt idx="4">
                  <c:v>0.18471670304347826</c:v>
                </c:pt>
                <c:pt idx="5">
                  <c:v>0.23911647804168798</c:v>
                </c:pt>
                <c:pt idx="6">
                  <c:v>0.29707835294445273</c:v>
                </c:pt>
                <c:pt idx="7">
                  <c:v>0.3587477928820012</c:v>
                </c:pt>
                <c:pt idx="8">
                  <c:v>0.42427539898113115</c:v>
                </c:pt>
                <c:pt idx="9">
                  <c:v>0.49381707788595885</c:v>
                </c:pt>
                <c:pt idx="10">
                  <c:v>0.56753421667310988</c:v>
                </c:pt>
                <c:pt idx="11">
                  <c:v>0.64559386332935742</c:v>
                </c:pt>
                <c:pt idx="12">
                  <c:v>0.72816891296488429</c:v>
                </c:pt>
                <c:pt idx="13">
                  <c:v>0.8154382999406603</c:v>
                </c:pt>
                <c:pt idx="14">
                  <c:v>0.90758719609391691</c:v>
                </c:pt>
                <c:pt idx="15">
                  <c:v>1.0048072152513423</c:v>
                </c:pt>
                <c:pt idx="16">
                  <c:v>1.1072004799204265</c:v>
                </c:pt>
                <c:pt idx="17">
                  <c:v>1.2130184837060538</c:v>
                </c:pt>
                <c:pt idx="18">
                  <c:v>1.3223639687817206</c:v>
                </c:pt>
                <c:pt idx="19">
                  <c:v>1.4353427595861279</c:v>
                </c:pt>
                <c:pt idx="20">
                  <c:v>1.5520638552911381</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numCache>
            </c:numRef>
          </c:val>
          <c:smooth val="0"/>
          <c:extLst>
            <c:ext xmlns:c15="http://schemas.microsoft.com/office/drawing/2012/chart" uri="{02D57815-91ED-43cb-92C2-25804820EDAC}">
              <c15:filteredCategoryTitle>
                <c15:cat>
                  <c:multiLvlStrRef>
                    <c:extLst>
                      <c:ext uri="{02D57815-91ED-43cb-92C2-25804820EDAC}">
                        <c15:formulaRef>
                          <c15:sqref>'5. Return on investment'!$J$4:$J$54</c15:sqref>
                        </c15:formulaRef>
                      </c:ext>
                    </c:extLst>
                  </c:multiLvlStrRef>
                </c15:cat>
              </c15:filteredCategoryTitle>
            </c:ext>
            <c:ext xmlns:c16="http://schemas.microsoft.com/office/drawing/2014/chart" uri="{C3380CC4-5D6E-409C-BE32-E72D297353CC}">
              <c16:uniqueId val="{00000001-29CC-43E7-A7D6-EBCDE4693414}"/>
            </c:ext>
          </c:extLst>
        </c:ser>
        <c:dLbls>
          <c:showLegendKey val="0"/>
          <c:showVal val="0"/>
          <c:showCatName val="0"/>
          <c:showSerName val="0"/>
          <c:showPercent val="0"/>
          <c:showBubbleSize val="0"/>
        </c:dLbls>
        <c:smooth val="0"/>
        <c:axId val="458877840"/>
        <c:axId val="458880192"/>
      </c:lineChart>
      <c:catAx>
        <c:axId val="458877840"/>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7181265796186203"/>
              <c:y val="0.83001119657730604"/>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80192"/>
        <c:crosses val="autoZero"/>
        <c:auto val="1"/>
        <c:lblAlgn val="ctr"/>
        <c:lblOffset val="100"/>
        <c:noMultiLvlLbl val="0"/>
      </c:catAx>
      <c:valAx>
        <c:axId val="458880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4.4477390659747998E-2"/>
              <c:y val="1.3793819125210501E-2"/>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7840"/>
        <c:crosses val="autoZero"/>
        <c:crossBetween val="between"/>
      </c:valAx>
      <c:spPr>
        <a:noFill/>
        <a:ln>
          <a:noFill/>
        </a:ln>
        <a:effectLst/>
      </c:spPr>
    </c:plotArea>
    <c:legend>
      <c:legendPos val="b"/>
      <c:layout>
        <c:manualLayout>
          <c:xMode val="edge"/>
          <c:yMode val="edge"/>
          <c:x val="0.20954528902234501"/>
          <c:y val="0.81825934185972404"/>
          <c:w val="0.58267095688095805"/>
          <c:h val="0.14913404032588401"/>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Cash flow 2</a:t>
            </a:r>
          </a:p>
        </c:rich>
      </c:tx>
      <c:layout>
        <c:manualLayout>
          <c:xMode val="edge"/>
          <c:yMode val="edge"/>
          <c:x val="0.31612903225806399"/>
          <c:y val="2.5316462905686399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7200363323568499"/>
          <c:y val="0.14849902534113099"/>
          <c:w val="0.79968575900594296"/>
          <c:h val="0.58761005875935002"/>
        </c:manualLayout>
      </c:layout>
      <c:lineChart>
        <c:grouping val="standard"/>
        <c:varyColors val="0"/>
        <c:ser>
          <c:idx val="0"/>
          <c:order val="0"/>
          <c:tx>
            <c:strRef>
              <c:f>'4. Cash flow '!$G$9</c:f>
              <c:strCache>
                <c:ptCount val="1"/>
                <c:pt idx="0">
                  <c:v>Cashflow_2</c:v>
                </c:pt>
              </c:strCache>
            </c:strRef>
          </c:tx>
          <c:spPr>
            <a:ln w="28575" cap="rnd">
              <a:solidFill>
                <a:srgbClr val="92D05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c:f>
              <c:numCache>
                <c:formatCode>#\ ##0_ ;\-#\ ##0\ </c:formatCode>
                <c:ptCount val="21"/>
                <c:pt idx="0">
                  <c:v>-595000</c:v>
                </c:pt>
                <c:pt idx="1">
                  <c:v>-556600</c:v>
                </c:pt>
                <c:pt idx="2">
                  <c:v>-517432</c:v>
                </c:pt>
                <c:pt idx="3">
                  <c:v>-477480.64</c:v>
                </c:pt>
                <c:pt idx="4">
                  <c:v>-436730.25280000002</c:v>
                </c:pt>
                <c:pt idx="5">
                  <c:v>-395164.85785600002</c:v>
                </c:pt>
                <c:pt idx="6">
                  <c:v>-352768.15501312003</c:v>
                </c:pt>
                <c:pt idx="7">
                  <c:v>-309523.51811338245</c:v>
                </c:pt>
                <c:pt idx="8">
                  <c:v>-265413.98847565008</c:v>
                </c:pt>
                <c:pt idx="9">
                  <c:v>-220422.26824516308</c:v>
                </c:pt>
                <c:pt idx="10">
                  <c:v>-174530.71361006633</c:v>
                </c:pt>
                <c:pt idx="11">
                  <c:v>-127721.32788226767</c:v>
                </c:pt>
                <c:pt idx="12">
                  <c:v>-79975.754439913013</c:v>
                </c:pt>
                <c:pt idx="13">
                  <c:v>-31275.269528711273</c:v>
                </c:pt>
                <c:pt idx="14">
                  <c:v>18399.225080714503</c:v>
                </c:pt>
                <c:pt idx="15">
                  <c:v>68699.225080714503</c:v>
                </c:pt>
                <c:pt idx="16">
                  <c:v>118999.2250807145</c:v>
                </c:pt>
                <c:pt idx="17">
                  <c:v>169299.2250807145</c:v>
                </c:pt>
                <c:pt idx="18">
                  <c:v>219599.2250807145</c:v>
                </c:pt>
                <c:pt idx="19">
                  <c:v>269899.2250807145</c:v>
                </c:pt>
                <c:pt idx="20">
                  <c:v>320199.2250807145</c:v>
                </c:pt>
              </c:numCache>
            </c:numRef>
          </c:val>
          <c:smooth val="0"/>
          <c:extLst>
            <c:ext xmlns:c16="http://schemas.microsoft.com/office/drawing/2014/chart" uri="{C3380CC4-5D6E-409C-BE32-E72D297353CC}">
              <c16:uniqueId val="{00000000-F85F-432B-81C2-488D8ECF9BBF}"/>
            </c:ext>
          </c:extLst>
        </c:ser>
        <c:ser>
          <c:idx val="1"/>
          <c:order val="1"/>
          <c:tx>
            <c:strRef>
              <c:f>'4. Cash flow '!$I$9</c:f>
              <c:strCache>
                <c:ptCount val="1"/>
                <c:pt idx="0">
                  <c:v>Cashflow_2 Option 1. Energy/water prices change</c:v>
                </c:pt>
              </c:strCache>
            </c:strRef>
          </c:tx>
          <c:spPr>
            <a:ln w="28575" cap="rnd">
              <a:solidFill>
                <a:srgbClr val="7030A0"/>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c:f>
              <c:numCache>
                <c:formatCode>#\ ##0_ ;\-#\ ##0\ </c:formatCode>
                <c:ptCount val="21"/>
                <c:pt idx="0">
                  <c:v>-595000</c:v>
                </c:pt>
                <c:pt idx="1">
                  <c:v>-556600</c:v>
                </c:pt>
                <c:pt idx="2">
                  <c:v>-515713</c:v>
                </c:pt>
                <c:pt idx="3">
                  <c:v>-472237.69</c:v>
                </c:pt>
                <c:pt idx="4">
                  <c:v>-426069.18670000002</c:v>
                </c:pt>
                <c:pt idx="5">
                  <c:v>-377098.91562099999</c:v>
                </c:pt>
                <c:pt idx="6">
                  <c:v>-325214.48947602999</c:v>
                </c:pt>
                <c:pt idx="7">
                  <c:v>-270299.58267443883</c:v>
                </c:pt>
                <c:pt idx="8">
                  <c:v>-212233.80183908253</c:v>
                </c:pt>
                <c:pt idx="9">
                  <c:v>-150892.55221235377</c:v>
                </c:pt>
                <c:pt idx="10">
                  <c:v>-86146.8998231851</c:v>
                </c:pt>
                <c:pt idx="11">
                  <c:v>-17863.42928323058</c:v>
                </c:pt>
                <c:pt idx="12">
                  <c:v>54095.902923615577</c:v>
                </c:pt>
                <c:pt idx="13">
                  <c:v>128792.00173990167</c:v>
                </c:pt>
                <c:pt idx="14">
                  <c:v>205938.98352067632</c:v>
                </c:pt>
                <c:pt idx="15">
                  <c:v>285610.37475487427</c:v>
                </c:pt>
                <c:pt idx="16">
                  <c:v>367881.90772609808</c:v>
                </c:pt>
                <c:pt idx="17">
                  <c:v>452831.58668645861</c:v>
                </c:pt>
                <c:pt idx="18">
                  <c:v>540539.75601562997</c:v>
                </c:pt>
                <c:pt idx="19">
                  <c:v>631089.1704246765</c:v>
                </c:pt>
                <c:pt idx="20">
                  <c:v>724565.06726599438</c:v>
                </c:pt>
              </c:numCache>
            </c:numRef>
          </c:val>
          <c:smooth val="0"/>
          <c:extLst>
            <c:ext xmlns:c16="http://schemas.microsoft.com/office/drawing/2014/chart" uri="{C3380CC4-5D6E-409C-BE32-E72D297353CC}">
              <c16:uniqueId val="{00000001-F85F-432B-81C2-488D8ECF9BBF}"/>
            </c:ext>
          </c:extLst>
        </c:ser>
        <c:ser>
          <c:idx val="2"/>
          <c:order val="2"/>
          <c:tx>
            <c:strRef>
              <c:f>'4. Cash flow '!$K$9</c:f>
              <c:strCache>
                <c:ptCount val="1"/>
                <c:pt idx="0">
                  <c:v>Cashflow_2 Option 2. Energy/water prices change</c:v>
                </c:pt>
              </c:strCache>
            </c:strRef>
          </c:tx>
          <c:spPr>
            <a:ln w="28575" cap="rnd">
              <a:solidFill>
                <a:schemeClr val="bg2">
                  <a:lumMod val="50000"/>
                </a:schemeClr>
              </a:solidFill>
              <a:prstDash val="dash"/>
              <a:round/>
            </a:ln>
            <a:effectLst/>
          </c:spPr>
          <c:marker>
            <c:symbol val="none"/>
          </c:marker>
          <c:cat>
            <c:numRef>
              <c:f>[0]!Year_2Cf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[0]!Cashflow_2ep_change2</c:f>
              <c:numCache>
                <c:formatCode>#\ ##0_ ;\-#\ ##0\ </c:formatCode>
                <c:ptCount val="21"/>
                <c:pt idx="0">
                  <c:v>-595000</c:v>
                </c:pt>
                <c:pt idx="1">
                  <c:v>-556600</c:v>
                </c:pt>
                <c:pt idx="2">
                  <c:v>-513994</c:v>
                </c:pt>
                <c:pt idx="3">
                  <c:v>-466891.60000000003</c:v>
                </c:pt>
                <c:pt idx="4">
                  <c:v>-414984.21519999998</c:v>
                </c:pt>
                <c:pt idx="5">
                  <c:v>-357943.96969599993</c:v>
                </c:pt>
                <c:pt idx="6">
                  <c:v>-295422.52349343989</c:v>
                </c:pt>
                <c:pt idx="7">
                  <c:v>-227049.82883103989</c:v>
                </c:pt>
                <c:pt idx="8">
                  <c:v>-152432.8115674557</c:v>
                </c:pt>
                <c:pt idx="9">
                  <c:v>-71153.973128187557</c:v>
                </c:pt>
                <c:pt idx="10">
                  <c:v>17230.091760103001</c:v>
                </c:pt>
                <c:pt idx="11">
                  <c:v>112845.66477200859</c:v>
                </c:pt>
                <c:pt idx="12">
                  <c:v>214618.17216462852</c:v>
                </c:pt>
                <c:pt idx="13">
                  <c:v>322917.03000080568</c:v>
                </c:pt>
                <c:pt idx="14">
                  <c:v>438133.8193071534</c:v>
                </c:pt>
                <c:pt idx="15">
                  <c:v>560683.61597188213</c:v>
                </c:pt>
                <c:pt idx="16">
                  <c:v>691006.4004364945</c:v>
                </c:pt>
                <c:pt idx="17">
                  <c:v>829568.55196898361</c:v>
                </c:pt>
                <c:pt idx="18">
                  <c:v>976864.43259342213</c:v>
                </c:pt>
                <c:pt idx="19">
                  <c:v>1133418.0660553267</c:v>
                </c:pt>
                <c:pt idx="20">
                  <c:v>1299784.9175249459</c:v>
                </c:pt>
              </c:numCache>
            </c:numRef>
          </c:val>
          <c:smooth val="0"/>
          <c:extLst>
            <c:ext xmlns:c16="http://schemas.microsoft.com/office/drawing/2014/chart" uri="{C3380CC4-5D6E-409C-BE32-E72D297353CC}">
              <c16:uniqueId val="{00000002-F85F-432B-81C2-488D8ECF9BBF}"/>
            </c:ext>
          </c:extLst>
        </c:ser>
        <c:dLbls>
          <c:showLegendKey val="0"/>
          <c:showVal val="0"/>
          <c:showCatName val="0"/>
          <c:showSerName val="0"/>
          <c:showPercent val="0"/>
          <c:showBubbleSize val="0"/>
        </c:dLbls>
        <c:smooth val="0"/>
        <c:axId val="456034208"/>
        <c:axId val="145812768"/>
      </c:lineChart>
      <c:catAx>
        <c:axId val="456034208"/>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581744795269604"/>
              <c:y val="0.75989225031081697"/>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700" b="0" i="0" u="none" strike="noStrike" kern="1200" spc="-100" baseline="0">
                <a:solidFill>
                  <a:schemeClr val="tx1">
                    <a:lumMod val="65000"/>
                    <a:lumOff val="35000"/>
                  </a:schemeClr>
                </a:solidFill>
                <a:latin typeface="+mn-lt"/>
                <a:ea typeface="+mn-ea"/>
                <a:cs typeface="+mn-cs"/>
              </a:defRPr>
            </a:pPr>
            <a:endParaRPr lang="fi-FI"/>
          </a:p>
        </c:txPr>
        <c:crossAx val="145812768"/>
        <c:crosses val="autoZero"/>
        <c:auto val="1"/>
        <c:lblAlgn val="ctr"/>
        <c:lblOffset val="100"/>
        <c:noMultiLvlLbl val="1"/>
      </c:catAx>
      <c:valAx>
        <c:axId val="14581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
              <c:y val="6.5184878206013694E-2"/>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6034208"/>
        <c:crosses val="autoZero"/>
        <c:crossBetween val="between"/>
      </c:valAx>
      <c:spPr>
        <a:noFill/>
        <a:ln>
          <a:noFill/>
        </a:ln>
        <a:effectLst/>
      </c:spPr>
    </c:plotArea>
    <c:legend>
      <c:legendPos val="b"/>
      <c:layout>
        <c:manualLayout>
          <c:xMode val="edge"/>
          <c:yMode val="edge"/>
          <c:x val="6.4372213776965502E-3"/>
          <c:y val="0.76670040618879198"/>
          <c:w val="0.97937759406972202"/>
          <c:h val="0.213806475359194"/>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Return on investment </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9.8182538543008804E-2"/>
          <c:y val="0.12682824025289799"/>
          <c:w val="0.86605007565608405"/>
          <c:h val="0.61414003966048003"/>
        </c:manualLayout>
      </c:layout>
      <c:lineChart>
        <c:grouping val="standard"/>
        <c:varyColors val="0"/>
        <c:ser>
          <c:idx val="0"/>
          <c:order val="0"/>
          <c:tx>
            <c:strRef>
              <c:f>'5. Return on investment'!$L$1</c:f>
              <c:strCache>
                <c:ptCount val="1"/>
                <c:pt idx="0">
                  <c:v>Return_on_investment_2</c:v>
                </c:pt>
              </c:strCache>
            </c:strRef>
          </c:tx>
          <c:spPr>
            <a:ln w="28575" cap="rnd">
              <a:solidFill>
                <a:schemeClr val="accent1"/>
              </a:solidFill>
              <a:round/>
            </a:ln>
            <a:effectLst/>
          </c:spPr>
          <c:marker>
            <c:symbol val="none"/>
          </c:marker>
          <c:cat>
            <c:numRef>
              <c:f>[0]!Year_2Return_on_investment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[0]!Return_on_investment_2</c:f>
              <c:numCache>
                <c:formatCode>0%</c:formatCode>
                <c:ptCount val="21"/>
                <c:pt idx="0">
                  <c:v>0</c:v>
                </c:pt>
                <c:pt idx="1">
                  <c:v>6.4537815126050418E-2</c:v>
                </c:pt>
                <c:pt idx="2">
                  <c:v>0.13036638655462185</c:v>
                </c:pt>
                <c:pt idx="3">
                  <c:v>0.1975115294117647</c:v>
                </c:pt>
                <c:pt idx="4">
                  <c:v>0.26599957512605038</c:v>
                </c:pt>
                <c:pt idx="5">
                  <c:v>0.33585738175462182</c:v>
                </c:pt>
                <c:pt idx="6">
                  <c:v>0.40711234451576472</c:v>
                </c:pt>
                <c:pt idx="7">
                  <c:v>0.47979240653213034</c:v>
                </c:pt>
                <c:pt idx="8">
                  <c:v>0.55392606978882342</c:v>
                </c:pt>
                <c:pt idx="9">
                  <c:v>0.62954240631065028</c:v>
                </c:pt>
                <c:pt idx="10">
                  <c:v>0.7066710695629137</c:v>
                </c:pt>
                <c:pt idx="11">
                  <c:v>0.78534230608022249</c:v>
                </c:pt>
                <c:pt idx="12">
                  <c:v>0.86558696732787721</c:v>
                </c:pt>
                <c:pt idx="13">
                  <c:v>0.94743652180048532</c:v>
                </c:pt>
                <c:pt idx="14">
                  <c:v>1.0309230673625456</c:v>
                </c:pt>
                <c:pt idx="15">
                  <c:v>1.1154608824885959</c:v>
                </c:pt>
                <c:pt idx="16">
                  <c:v>1.1999986976146464</c:v>
                </c:pt>
                <c:pt idx="17">
                  <c:v>1.2845365127406967</c:v>
                </c:pt>
                <c:pt idx="18">
                  <c:v>1.3690743278667472</c:v>
                </c:pt>
                <c:pt idx="19">
                  <c:v>1.4536121429927975</c:v>
                </c:pt>
                <c:pt idx="20">
                  <c:v>1.538149958118848</c:v>
                </c:pt>
              </c:numCache>
            </c:numRef>
          </c:val>
          <c:smooth val="0"/>
          <c:extLst>
            <c:ext xmlns:c16="http://schemas.microsoft.com/office/drawing/2014/chart" uri="{C3380CC4-5D6E-409C-BE32-E72D297353CC}">
              <c16:uniqueId val="{00000000-F676-48F2-87F7-82856113F974}"/>
            </c:ext>
          </c:extLst>
        </c:ser>
        <c:ser>
          <c:idx val="1"/>
          <c:order val="1"/>
          <c:tx>
            <c:strRef>
              <c:f>'5. Return on investment'!$N$1</c:f>
              <c:strCache>
                <c:ptCount val="1"/>
                <c:pt idx="0">
                  <c:v>Return_on_investment_2ep_change</c:v>
                </c:pt>
              </c:strCache>
            </c:strRef>
          </c:tx>
          <c:spPr>
            <a:ln w="28575" cap="rnd">
              <a:solidFill>
                <a:schemeClr val="accent2"/>
              </a:solidFill>
              <a:round/>
            </a:ln>
            <a:effectLst/>
          </c:spPr>
          <c:marker>
            <c:symbol val="none"/>
          </c:marker>
          <c:cat>
            <c:numRef>
              <c:f>[0]!Year_2Return_on_investment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[0]!Return_on_investment_2ep_change</c:f>
              <c:numCache>
                <c:formatCode>0%</c:formatCode>
                <c:ptCount val="21"/>
                <c:pt idx="0">
                  <c:v>0</c:v>
                </c:pt>
                <c:pt idx="1">
                  <c:v>6.4537815126050418E-2</c:v>
                </c:pt>
                <c:pt idx="2">
                  <c:v>0.13325546218487394</c:v>
                </c:pt>
                <c:pt idx="3">
                  <c:v>0.20632321008403362</c:v>
                </c:pt>
                <c:pt idx="4">
                  <c:v>0.28391733327731095</c:v>
                </c:pt>
                <c:pt idx="5">
                  <c:v>0.36622030988067228</c:v>
                </c:pt>
                <c:pt idx="6">
                  <c:v>0.45342102609070589</c:v>
                </c:pt>
                <c:pt idx="7">
                  <c:v>0.54571498710178334</c:v>
                </c:pt>
                <c:pt idx="8">
                  <c:v>0.64330453472423088</c:v>
                </c:pt>
                <c:pt idx="9">
                  <c:v>0.74639907191201038</c:v>
                </c:pt>
                <c:pt idx="10">
                  <c:v>0.85521529441481481</c:v>
                </c:pt>
                <c:pt idx="11">
                  <c:v>0.96997742977608292</c:v>
                </c:pt>
                <c:pt idx="12">
                  <c:v>1.0909174839052362</c:v>
                </c:pt>
                <c:pt idx="13">
                  <c:v>1.2164571457813473</c:v>
                </c:pt>
                <c:pt idx="14">
                  <c:v>1.3461159386902122</c:v>
                </c:pt>
                <c:pt idx="15">
                  <c:v>1.4800174365628136</c:v>
                </c:pt>
                <c:pt idx="16">
                  <c:v>1.6182889205480639</c:v>
                </c:pt>
                <c:pt idx="17">
                  <c:v>1.7610614902293422</c:v>
                </c:pt>
                <c:pt idx="18">
                  <c:v>1.9084701781775293</c:v>
                </c:pt>
                <c:pt idx="19">
                  <c:v>2.0606540679406327</c:v>
                </c:pt>
                <c:pt idx="20">
                  <c:v>2.2177564155731</c:v>
                </c:pt>
              </c:numCache>
            </c:numRef>
          </c:val>
          <c:smooth val="0"/>
          <c:extLst>
            <c:ext xmlns:c16="http://schemas.microsoft.com/office/drawing/2014/chart" uri="{C3380CC4-5D6E-409C-BE32-E72D297353CC}">
              <c16:uniqueId val="{00000001-F676-48F2-87F7-82856113F974}"/>
            </c:ext>
          </c:extLst>
        </c:ser>
        <c:dLbls>
          <c:showLegendKey val="0"/>
          <c:showVal val="0"/>
          <c:showCatName val="0"/>
          <c:showSerName val="0"/>
          <c:showPercent val="0"/>
          <c:showBubbleSize val="0"/>
        </c:dLbls>
        <c:smooth val="0"/>
        <c:axId val="458879408"/>
        <c:axId val="458880584"/>
      </c:lineChart>
      <c:catAx>
        <c:axId val="458879408"/>
        <c:scaling>
          <c:orientation val="minMax"/>
        </c:scaling>
        <c:delete val="0"/>
        <c:axPos val="b"/>
        <c:title>
          <c:tx>
            <c:rich>
              <a:bodyPr rot="0" spcFirstLastPara="0" vertOverflow="ellipsis" vert="horz" wrap="square" anchor="ctr" anchorCtr="1" forceAA="0"/>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9332973467735299"/>
              <c:y val="0.80840768981854105"/>
            </c:manualLayout>
          </c:layout>
          <c:overlay val="0"/>
          <c:spPr>
            <a:noFill/>
            <a:ln>
              <a:noFill/>
            </a:ln>
            <a:effectLst/>
          </c:spPr>
          <c:txPr>
            <a:bodyPr rot="0" spcFirstLastPara="0" vertOverflow="ellipsis" vert="horz" wrap="square" anchor="ctr" anchorCtr="1" forceAA="0"/>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forceAA="0"/>
          <a:lstStyle/>
          <a:p>
            <a:pPr>
              <a:defRPr lang="en-US" sz="700" b="0" i="0" u="none" strike="noStrike" kern="1200" spc="0" baseline="0">
                <a:solidFill>
                  <a:schemeClr val="tx1">
                    <a:lumMod val="65000"/>
                    <a:lumOff val="35000"/>
                  </a:schemeClr>
                </a:solidFill>
                <a:latin typeface="+mn-lt"/>
                <a:ea typeface="+mn-ea"/>
                <a:cs typeface="+mn-cs"/>
              </a:defRPr>
            </a:pPr>
            <a:endParaRPr lang="fi-FI"/>
          </a:p>
        </c:txPr>
        <c:crossAx val="458880584"/>
        <c:crosses val="autoZero"/>
        <c:auto val="1"/>
        <c:lblAlgn val="ctr"/>
        <c:lblOffset val="100"/>
        <c:noMultiLvlLbl val="1"/>
      </c:catAx>
      <c:valAx>
        <c:axId val="458880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5901756691739898E-2"/>
              <c:y val="3.10529940343337E-2"/>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9408"/>
        <c:crosses val="autoZero"/>
        <c:crossBetween val="between"/>
      </c:valAx>
      <c:spPr>
        <a:noFill/>
        <a:ln>
          <a:noFill/>
        </a:ln>
        <a:effectLst/>
      </c:spPr>
    </c:plotArea>
    <c:legend>
      <c:legendPos val="b"/>
      <c:layout>
        <c:manualLayout>
          <c:xMode val="edge"/>
          <c:yMode val="edge"/>
          <c:x val="0.16925355269488501"/>
          <c:y val="0.80927192320138097"/>
          <c:w val="0.57207388197190701"/>
          <c:h val="0.190728076798619"/>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Return on investment</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05393700787402"/>
          <c:y val="0.116157407407407"/>
          <c:w val="0.87349687058348502"/>
          <c:h val="0.59030839895013099"/>
        </c:manualLayout>
      </c:layout>
      <c:lineChart>
        <c:grouping val="standard"/>
        <c:varyColors val="0"/>
        <c:ser>
          <c:idx val="0"/>
          <c:order val="0"/>
          <c:tx>
            <c:strRef>
              <c:f>'5. Return on investment'!$K$1</c:f>
              <c:strCache>
                <c:ptCount val="1"/>
                <c:pt idx="0">
                  <c:v>Return_on_investment_1</c:v>
                </c:pt>
              </c:strCache>
            </c:strRef>
          </c:tx>
          <c:spPr>
            <a:ln w="28575" cap="rnd">
              <a:solidFill>
                <a:schemeClr val="accent1"/>
              </a:solidFill>
              <a:round/>
            </a:ln>
            <a:effectLst/>
          </c:spPr>
          <c:marker>
            <c:symbol val="none"/>
          </c:marker>
          <c:cat>
            <c:numRef>
              <c:f>[0]!Year_1Return_on_investment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[0]!Return_on_investment_1</c:f>
              <c:numCache>
                <c:formatCode>0%</c:formatCode>
                <c:ptCount val="21"/>
                <c:pt idx="0">
                  <c:v>0</c:v>
                </c:pt>
                <c:pt idx="1">
                  <c:v>4.1508951406649619E-2</c:v>
                </c:pt>
                <c:pt idx="2">
                  <c:v>8.384808184143222E-2</c:v>
                </c:pt>
                <c:pt idx="3">
                  <c:v>0.12703399488491049</c:v>
                </c:pt>
                <c:pt idx="4">
                  <c:v>0.17108362618925832</c:v>
                </c:pt>
                <c:pt idx="5">
                  <c:v>0.21601425011969308</c:v>
                </c:pt>
                <c:pt idx="6">
                  <c:v>0.26184348652873657</c:v>
                </c:pt>
                <c:pt idx="7">
                  <c:v>0.30858930766596093</c:v>
                </c:pt>
                <c:pt idx="8">
                  <c:v>0.35627004522592975</c:v>
                </c:pt>
                <c:pt idx="9">
                  <c:v>0.40490439753709795</c:v>
                </c:pt>
                <c:pt idx="10">
                  <c:v>0.45451143689448947</c:v>
                </c:pt>
                <c:pt idx="11">
                  <c:v>0.50511061703902893</c:v>
                </c:pt>
                <c:pt idx="12">
                  <c:v>0.55672178078645917</c:v>
                </c:pt>
                <c:pt idx="13">
                  <c:v>0.60936516780883798</c:v>
                </c:pt>
                <c:pt idx="14">
                  <c:v>0.66306142257166445</c:v>
                </c:pt>
                <c:pt idx="15">
                  <c:v>0.71783160242974731</c:v>
                </c:pt>
                <c:pt idx="16">
                  <c:v>0.77369718588499181</c:v>
                </c:pt>
                <c:pt idx="17">
                  <c:v>0.83068008100934132</c:v>
                </c:pt>
                <c:pt idx="18">
                  <c:v>0.88880263403617776</c:v>
                </c:pt>
                <c:pt idx="19">
                  <c:v>0.94808763812355101</c:v>
                </c:pt>
                <c:pt idx="20">
                  <c:v>1.0085583422926716</c:v>
                </c:pt>
              </c:numCache>
            </c:numRef>
          </c:val>
          <c:smooth val="0"/>
          <c:extLst>
            <c:ext xmlns:c16="http://schemas.microsoft.com/office/drawing/2014/chart" uri="{C3380CC4-5D6E-409C-BE32-E72D297353CC}">
              <c16:uniqueId val="{00000000-F5DD-4BC1-9EE6-3FECC608C554}"/>
            </c:ext>
          </c:extLst>
        </c:ser>
        <c:ser>
          <c:idx val="1"/>
          <c:order val="1"/>
          <c:tx>
            <c:strRef>
              <c:f>'5. Return on investment'!$M$1</c:f>
              <c:strCache>
                <c:ptCount val="1"/>
                <c:pt idx="0">
                  <c:v>Return_on_investment_1ep_change</c:v>
                </c:pt>
              </c:strCache>
            </c:strRef>
          </c:tx>
          <c:spPr>
            <a:ln w="28575" cap="rnd">
              <a:solidFill>
                <a:schemeClr val="accent2"/>
              </a:solidFill>
              <a:round/>
            </a:ln>
            <a:effectLst/>
          </c:spPr>
          <c:marker>
            <c:symbol val="none"/>
          </c:marker>
          <c:cat>
            <c:numRef>
              <c:f>[0]!Year_1Return_on_investment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[0]!Return_on_investment_1ep_change</c:f>
              <c:numCache>
                <c:formatCode>0%</c:formatCode>
                <c:ptCount val="21"/>
                <c:pt idx="0">
                  <c:v>0</c:v>
                </c:pt>
                <c:pt idx="1">
                  <c:v>4.1508951406649619E-2</c:v>
                </c:pt>
                <c:pt idx="2">
                  <c:v>8.6046291560102295E-2</c:v>
                </c:pt>
                <c:pt idx="3">
                  <c:v>0.13373853452685422</c:v>
                </c:pt>
                <c:pt idx="4">
                  <c:v>0.18471670304347826</c:v>
                </c:pt>
                <c:pt idx="5">
                  <c:v>0.23911647804168798</c:v>
                </c:pt>
                <c:pt idx="6">
                  <c:v>0.29707835294445273</c:v>
                </c:pt>
                <c:pt idx="7">
                  <c:v>0.3587477928820012</c:v>
                </c:pt>
                <c:pt idx="8">
                  <c:v>0.42427539898113115</c:v>
                </c:pt>
                <c:pt idx="9">
                  <c:v>0.49381707788595885</c:v>
                </c:pt>
                <c:pt idx="10">
                  <c:v>0.56753421667310988</c:v>
                </c:pt>
                <c:pt idx="11">
                  <c:v>0.64559386332935742</c:v>
                </c:pt>
                <c:pt idx="12">
                  <c:v>0.72816891296488429</c:v>
                </c:pt>
                <c:pt idx="13">
                  <c:v>0.8154382999406603</c:v>
                </c:pt>
                <c:pt idx="14">
                  <c:v>0.90758719609391691</c:v>
                </c:pt>
                <c:pt idx="15">
                  <c:v>1.0048072152513423</c:v>
                </c:pt>
                <c:pt idx="16">
                  <c:v>1.1072004799204265</c:v>
                </c:pt>
                <c:pt idx="17">
                  <c:v>1.2130184837060538</c:v>
                </c:pt>
                <c:pt idx="18">
                  <c:v>1.3223639687817206</c:v>
                </c:pt>
                <c:pt idx="19">
                  <c:v>1.4353427595861279</c:v>
                </c:pt>
                <c:pt idx="20">
                  <c:v>1.5520638552911381</c:v>
                </c:pt>
              </c:numCache>
            </c:numRef>
          </c:val>
          <c:smooth val="0"/>
          <c:extLst>
            <c:ext xmlns:c16="http://schemas.microsoft.com/office/drawing/2014/chart" uri="{C3380CC4-5D6E-409C-BE32-E72D297353CC}">
              <c16:uniqueId val="{00000001-F5DD-4BC1-9EE6-3FECC608C554}"/>
            </c:ext>
          </c:extLst>
        </c:ser>
        <c:dLbls>
          <c:showLegendKey val="0"/>
          <c:showVal val="0"/>
          <c:showCatName val="0"/>
          <c:showSerName val="0"/>
          <c:showPercent val="0"/>
          <c:showBubbleSize val="0"/>
        </c:dLbls>
        <c:smooth val="0"/>
        <c:axId val="458876664"/>
        <c:axId val="458874312"/>
      </c:lineChart>
      <c:catAx>
        <c:axId val="458876664"/>
        <c:scaling>
          <c:orientation val="minMax"/>
        </c:scaling>
        <c:delete val="0"/>
        <c:axPos val="b"/>
        <c:title>
          <c:tx>
            <c:rich>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88765441017120605"/>
              <c:y val="0.77158205786074496"/>
            </c:manualLayout>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fi-FI"/>
            </a:p>
          </c:txPr>
        </c:title>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700" b="0" i="0" u="none" strike="noStrike" kern="1200" spc="-100" baseline="0">
                <a:solidFill>
                  <a:schemeClr val="tx1">
                    <a:lumMod val="65000"/>
                    <a:lumOff val="35000"/>
                  </a:schemeClr>
                </a:solidFill>
                <a:latin typeface="+mn-lt"/>
                <a:ea typeface="+mn-ea"/>
                <a:cs typeface="+mn-cs"/>
              </a:defRPr>
            </a:pPr>
            <a:endParaRPr lang="fi-FI"/>
          </a:p>
        </c:txPr>
        <c:crossAx val="458874312"/>
        <c:crosses val="autoZero"/>
        <c:auto val="1"/>
        <c:lblAlgn val="ctr"/>
        <c:lblOffset val="100"/>
        <c:tickLblSkip val="1"/>
        <c:noMultiLvlLbl val="1"/>
      </c:catAx>
      <c:valAx>
        <c:axId val="458874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w="15875">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6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Payback period 1</a:t>
            </a:r>
          </a:p>
        </c:rich>
      </c:tx>
      <c:layout>
        <c:manualLayout>
          <c:xMode val="edge"/>
          <c:yMode val="edge"/>
          <c:x val="0.358840110739582"/>
          <c:y val="2.42690979417047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8740157480315001"/>
          <c:y val="0.121695759415615"/>
          <c:w val="0.76623665192535895"/>
          <c:h val="0.463035870516185"/>
        </c:manualLayout>
      </c:layout>
      <c:lineChart>
        <c:grouping val="standard"/>
        <c:varyColors val="0"/>
        <c:ser>
          <c:idx val="1"/>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D981-4284-9531-926DD76C9B50}"/>
            </c:ext>
          </c:extLst>
        </c:ser>
        <c:ser>
          <c:idx val="0"/>
          <c:order val="1"/>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1-D981-4284-9531-926DD76C9B50}"/>
            </c:ext>
          </c:extLst>
        </c:ser>
        <c:ser>
          <c:idx val="4"/>
          <c:order val="2"/>
          <c:tx>
            <c:strRef>
              <c:f>'6. Pay back time'!$J$9:$J$10</c:f>
              <c:strCache>
                <c:ptCount val="2"/>
                <c:pt idx="0">
                  <c:v>Payback_1 Decrease energy/water costs (€)</c:v>
                </c:pt>
                <c:pt idx="1">
                  <c:v>Option 1. Energy/water prices change</c:v>
                </c:pt>
              </c:strCache>
            </c:strRef>
          </c:tx>
          <c:spPr>
            <a:ln w="28575" cap="rnd">
              <a:solidFill>
                <a:srgbClr val="7030A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2-D981-4284-9531-926DD76C9B50}"/>
            </c:ext>
          </c:extLst>
        </c:ser>
        <c:ser>
          <c:idx val="2"/>
          <c:order val="3"/>
          <c:tx>
            <c:strRef>
              <c:f>'6. Pay back time'!$L$9:$L$10</c:f>
              <c:strCache>
                <c:ptCount val="2"/>
                <c:pt idx="0">
                  <c:v>Payback_1 Decrease energy/water costs (€)</c:v>
                </c:pt>
                <c:pt idx="1">
                  <c:v>Option 2. Energy/water prices change</c:v>
                </c:pt>
              </c:strCache>
            </c:strRef>
          </c:tx>
          <c:spPr>
            <a:ln w="28575" cap="rnd">
              <a:solidFill>
                <a:schemeClr val="tx1">
                  <a:lumMod val="50000"/>
                  <a:lumOff val="50000"/>
                </a:schemeClr>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3-D981-4284-9531-926DD76C9B50}"/>
            </c:ext>
          </c:extLst>
        </c:ser>
        <c:dLbls>
          <c:showLegendKey val="0"/>
          <c:showVal val="0"/>
          <c:showCatName val="0"/>
          <c:showSerName val="0"/>
          <c:showPercent val="0"/>
          <c:showBubbleSize val="0"/>
        </c:dLbls>
        <c:smooth val="0"/>
        <c:axId val="458877448"/>
        <c:axId val="458874704"/>
      </c:lineChart>
      <c:catAx>
        <c:axId val="458877448"/>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5.2962763216241798E-2"/>
              <c:y val="0.60356663750364503"/>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4704"/>
        <c:crosses val="autoZero"/>
        <c:auto val="1"/>
        <c:lblAlgn val="ctr"/>
        <c:lblOffset val="100"/>
        <c:noMultiLvlLbl val="1"/>
      </c:catAx>
      <c:valAx>
        <c:axId val="458874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7838660578386603E-2"/>
              <c:y val="8.4310804551656592E-3"/>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8877448"/>
        <c:crosses val="autoZero"/>
        <c:crossBetween val="midCat"/>
      </c:valAx>
      <c:spPr>
        <a:noFill/>
        <a:ln>
          <a:noFill/>
        </a:ln>
        <a:effectLst/>
      </c:spPr>
    </c:plotArea>
    <c:legend>
      <c:legendPos val="b"/>
      <c:layout>
        <c:manualLayout>
          <c:xMode val="edge"/>
          <c:yMode val="edge"/>
          <c:x val="2.8451922961684698E-3"/>
          <c:y val="0.69189476315460596"/>
          <c:w val="0.99287671232876695"/>
          <c:h val="0.29138920134983098"/>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fi-FI"/>
              <a:t>Payback period 2</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567790074076699"/>
          <c:y val="0.126556873161939"/>
          <c:w val="0.79180121846955898"/>
          <c:h val="0.486217571487774"/>
        </c:manualLayout>
      </c:layout>
      <c:lineChart>
        <c:grouping val="standard"/>
        <c:varyColors val="0"/>
        <c:ser>
          <c:idx val="0"/>
          <c:order val="0"/>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595000</c:v>
                </c:pt>
                <c:pt idx="1">
                  <c:v>595000</c:v>
                </c:pt>
                <c:pt idx="2">
                  <c:v>595000</c:v>
                </c:pt>
                <c:pt idx="3">
                  <c:v>595000</c:v>
                </c:pt>
                <c:pt idx="4">
                  <c:v>595000</c:v>
                </c:pt>
                <c:pt idx="5">
                  <c:v>595000</c:v>
                </c:pt>
                <c:pt idx="6">
                  <c:v>595000</c:v>
                </c:pt>
                <c:pt idx="7">
                  <c:v>595000</c:v>
                </c:pt>
                <c:pt idx="8">
                  <c:v>595000</c:v>
                </c:pt>
                <c:pt idx="9">
                  <c:v>595000</c:v>
                </c:pt>
                <c:pt idx="10">
                  <c:v>595000</c:v>
                </c:pt>
                <c:pt idx="11">
                  <c:v>595000</c:v>
                </c:pt>
                <c:pt idx="12">
                  <c:v>595000</c:v>
                </c:pt>
                <c:pt idx="13">
                  <c:v>595000</c:v>
                </c:pt>
                <c:pt idx="14">
                  <c:v>595000</c:v>
                </c:pt>
                <c:pt idx="15">
                  <c:v>595000</c:v>
                </c:pt>
                <c:pt idx="16">
                  <c:v>595000</c:v>
                </c:pt>
                <c:pt idx="17">
                  <c:v>595000</c:v>
                </c:pt>
                <c:pt idx="18">
                  <c:v>595000</c:v>
                </c:pt>
                <c:pt idx="19">
                  <c:v>595000</c:v>
                </c:pt>
                <c:pt idx="20">
                  <c:v>595000</c:v>
                </c:pt>
              </c:numCache>
            </c:numRef>
          </c:val>
          <c:smooth val="0"/>
          <c:extLst>
            <c:ext xmlns:c16="http://schemas.microsoft.com/office/drawing/2014/chart" uri="{C3380CC4-5D6E-409C-BE32-E72D297353CC}">
              <c16:uniqueId val="{00000000-03A9-4522-94C4-C5CA2FCBDAD4}"/>
            </c:ext>
          </c:extLst>
        </c:ser>
        <c:ser>
          <c:idx val="1"/>
          <c:order val="1"/>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57300</c:v>
                </c:pt>
                <c:pt idx="2">
                  <c:v>114600</c:v>
                </c:pt>
                <c:pt idx="3">
                  <c:v>171900</c:v>
                </c:pt>
                <c:pt idx="4">
                  <c:v>229200</c:v>
                </c:pt>
                <c:pt idx="5">
                  <c:v>286500</c:v>
                </c:pt>
                <c:pt idx="6">
                  <c:v>343800</c:v>
                </c:pt>
                <c:pt idx="7">
                  <c:v>401100</c:v>
                </c:pt>
                <c:pt idx="8">
                  <c:v>458400</c:v>
                </c:pt>
                <c:pt idx="9">
                  <c:v>515700</c:v>
                </c:pt>
                <c:pt idx="10">
                  <c:v>573000</c:v>
                </c:pt>
                <c:pt idx="11">
                  <c:v>630300</c:v>
                </c:pt>
                <c:pt idx="12">
                  <c:v>687600</c:v>
                </c:pt>
                <c:pt idx="13">
                  <c:v>744900</c:v>
                </c:pt>
                <c:pt idx="14">
                  <c:v>802200</c:v>
                </c:pt>
                <c:pt idx="15">
                  <c:v>859500</c:v>
                </c:pt>
                <c:pt idx="16">
                  <c:v>916800</c:v>
                </c:pt>
                <c:pt idx="17">
                  <c:v>974100</c:v>
                </c:pt>
                <c:pt idx="18">
                  <c:v>1031400</c:v>
                </c:pt>
                <c:pt idx="19">
                  <c:v>1088700</c:v>
                </c:pt>
                <c:pt idx="20">
                  <c:v>1146000</c:v>
                </c:pt>
              </c:numCache>
            </c:numRef>
          </c:val>
          <c:smooth val="0"/>
          <c:extLst>
            <c:ext xmlns:c16="http://schemas.microsoft.com/office/drawing/2014/chart" uri="{C3380CC4-5D6E-409C-BE32-E72D297353CC}">
              <c16:uniqueId val="{00000001-03A9-4522-94C4-C5CA2FCBDAD4}"/>
            </c:ext>
          </c:extLst>
        </c:ser>
        <c:ser>
          <c:idx val="2"/>
          <c:order val="2"/>
          <c:tx>
            <c:strRef>
              <c:f>'6. Pay back time'!$K$9:$K$10</c:f>
              <c:strCache>
                <c:ptCount val="2"/>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57300</c:v>
                </c:pt>
                <c:pt idx="2">
                  <c:v>116319</c:v>
                </c:pt>
                <c:pt idx="3">
                  <c:v>177108.57</c:v>
                </c:pt>
                <c:pt idx="4">
                  <c:v>239721.82709999999</c:v>
                </c:pt>
                <c:pt idx="5">
                  <c:v>304213.481913</c:v>
                </c:pt>
                <c:pt idx="6">
                  <c:v>370639.88637039001</c:v>
                </c:pt>
                <c:pt idx="7">
                  <c:v>439059.08296150173</c:v>
                </c:pt>
                <c:pt idx="8">
                  <c:v>509530.85545034683</c:v>
                </c:pt>
                <c:pt idx="9">
                  <c:v>582116.78111385729</c:v>
                </c:pt>
                <c:pt idx="10">
                  <c:v>656880.28454727307</c:v>
                </c:pt>
                <c:pt idx="11">
                  <c:v>733886.69308369129</c:v>
                </c:pt>
                <c:pt idx="12">
                  <c:v>813203.29387620208</c:v>
                </c:pt>
                <c:pt idx="13">
                  <c:v>894899.39269248815</c:v>
                </c:pt>
                <c:pt idx="14">
                  <c:v>979046.37447326281</c:v>
                </c:pt>
                <c:pt idx="15">
                  <c:v>1065717.7657074607</c:v>
                </c:pt>
                <c:pt idx="16">
                  <c:v>1154989.2986786845</c:v>
                </c:pt>
                <c:pt idx="17">
                  <c:v>1246938.9776390451</c:v>
                </c:pt>
                <c:pt idx="18">
                  <c:v>1341647.1469682164</c:v>
                </c:pt>
                <c:pt idx="19">
                  <c:v>1439196.5613772629</c:v>
                </c:pt>
                <c:pt idx="20">
                  <c:v>1539672.4582185808</c:v>
                </c:pt>
              </c:numCache>
            </c:numRef>
          </c:val>
          <c:smooth val="0"/>
          <c:extLst>
            <c:ext xmlns:c16="http://schemas.microsoft.com/office/drawing/2014/chart" uri="{C3380CC4-5D6E-409C-BE32-E72D297353CC}">
              <c16:uniqueId val="{00000002-03A9-4522-94C4-C5CA2FCBDAD4}"/>
            </c:ext>
          </c:extLst>
        </c:ser>
        <c:ser>
          <c:idx val="3"/>
          <c:order val="3"/>
          <c:tx>
            <c:strRef>
              <c:f>'6. Pay back time'!$M$9:$M$10</c:f>
              <c:strCache>
                <c:ptCount val="2"/>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57300</c:v>
                </c:pt>
                <c:pt idx="2">
                  <c:v>118038</c:v>
                </c:pt>
                <c:pt idx="3">
                  <c:v>182420.28</c:v>
                </c:pt>
                <c:pt idx="4">
                  <c:v>250665.49680000002</c:v>
                </c:pt>
                <c:pt idx="5">
                  <c:v>323005.42660800007</c:v>
                </c:pt>
                <c:pt idx="6">
                  <c:v>399685.75220448012</c:v>
                </c:pt>
                <c:pt idx="7">
                  <c:v>480966.89733674895</c:v>
                </c:pt>
                <c:pt idx="8">
                  <c:v>567124.91117695393</c:v>
                </c:pt>
                <c:pt idx="9">
                  <c:v>658452.40584757121</c:v>
                </c:pt>
                <c:pt idx="10">
                  <c:v>755259.55019842554</c:v>
                </c:pt>
                <c:pt idx="11">
                  <c:v>857875.12321033108</c:v>
                </c:pt>
                <c:pt idx="12">
                  <c:v>966647.63060295105</c:v>
                </c:pt>
                <c:pt idx="13">
                  <c:v>1081946.4884391283</c:v>
                </c:pt>
                <c:pt idx="14">
                  <c:v>1204163.277745476</c:v>
                </c:pt>
                <c:pt idx="15">
                  <c:v>1333713.0744102045</c:v>
                </c:pt>
                <c:pt idx="16">
                  <c:v>1471035.8588748169</c:v>
                </c:pt>
                <c:pt idx="17">
                  <c:v>1616598.010407306</c:v>
                </c:pt>
                <c:pt idx="18">
                  <c:v>1770893.8910317444</c:v>
                </c:pt>
                <c:pt idx="19">
                  <c:v>1934447.5244936491</c:v>
                </c:pt>
                <c:pt idx="20">
                  <c:v>2107814.3759632683</c:v>
                </c:pt>
              </c:numCache>
            </c:numRef>
          </c:val>
          <c:smooth val="0"/>
          <c:extLst>
            <c:ext xmlns:c16="http://schemas.microsoft.com/office/drawing/2014/chart" uri="{C3380CC4-5D6E-409C-BE32-E72D297353CC}">
              <c16:uniqueId val="{00000003-03A9-4522-94C4-C5CA2FCBDAD4}"/>
            </c:ext>
          </c:extLst>
        </c:ser>
        <c:dLbls>
          <c:showLegendKey val="0"/>
          <c:showVal val="0"/>
          <c:showCatName val="0"/>
          <c:showSerName val="0"/>
          <c:showPercent val="0"/>
          <c:showBubbleSize val="0"/>
        </c:dLbls>
        <c:smooth val="0"/>
        <c:axId val="585965696"/>
        <c:axId val="585960992"/>
      </c:lineChart>
      <c:catAx>
        <c:axId val="585965696"/>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4.5200318069580699E-2"/>
              <c:y val="0.64105124114387702"/>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0992"/>
        <c:crosses val="autoZero"/>
        <c:auto val="1"/>
        <c:lblAlgn val="ctr"/>
        <c:lblOffset val="100"/>
        <c:noMultiLvlLbl val="0"/>
      </c:catAx>
      <c:valAx>
        <c:axId val="585960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13667425968109301"/>
              <c:y val="3.2235923339771197E-2"/>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5696"/>
        <c:crosses val="autoZero"/>
        <c:crossBetween val="between"/>
      </c:valAx>
      <c:spPr>
        <a:noFill/>
        <a:ln>
          <a:noFill/>
        </a:ln>
        <a:effectLst/>
      </c:spPr>
    </c:plotArea>
    <c:legend>
      <c:legendPos val="b"/>
      <c:layout>
        <c:manualLayout>
          <c:xMode val="edge"/>
          <c:yMode val="edge"/>
          <c:x val="4.1064456920105897E-3"/>
          <c:y val="0.71239077416207897"/>
          <c:w val="0.990615034168565"/>
          <c:h val="0.28758375791261398"/>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Pay back period, Both measures</a:t>
            </a:r>
          </a:p>
        </c:rich>
      </c:tx>
      <c:layout>
        <c:manualLayout>
          <c:xMode val="edge"/>
          <c:yMode val="edge"/>
          <c:x val="0.169333333333333"/>
          <c:y val="1.38808534575348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54470034995626"/>
          <c:y val="5.7141207262637397E-2"/>
          <c:w val="0.81497440944881905"/>
          <c:h val="0.45497102144136498"/>
        </c:manualLayout>
      </c:layout>
      <c:lineChart>
        <c:grouping val="standard"/>
        <c:varyColors val="0"/>
        <c:ser>
          <c:idx val="0"/>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38AD-43C2-AB14-890B9C1DD8A8}"/>
            </c:ext>
          </c:extLst>
        </c:ser>
        <c:ser>
          <c:idx val="1"/>
          <c:order val="1"/>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595000</c:v>
                </c:pt>
                <c:pt idx="1">
                  <c:v>595000</c:v>
                </c:pt>
                <c:pt idx="2">
                  <c:v>595000</c:v>
                </c:pt>
                <c:pt idx="3">
                  <c:v>595000</c:v>
                </c:pt>
                <c:pt idx="4">
                  <c:v>595000</c:v>
                </c:pt>
                <c:pt idx="5">
                  <c:v>595000</c:v>
                </c:pt>
                <c:pt idx="6">
                  <c:v>595000</c:v>
                </c:pt>
                <c:pt idx="7">
                  <c:v>595000</c:v>
                </c:pt>
                <c:pt idx="8">
                  <c:v>595000</c:v>
                </c:pt>
                <c:pt idx="9">
                  <c:v>595000</c:v>
                </c:pt>
                <c:pt idx="10">
                  <c:v>595000</c:v>
                </c:pt>
                <c:pt idx="11">
                  <c:v>595000</c:v>
                </c:pt>
                <c:pt idx="12">
                  <c:v>595000</c:v>
                </c:pt>
                <c:pt idx="13">
                  <c:v>595000</c:v>
                </c:pt>
                <c:pt idx="14">
                  <c:v>595000</c:v>
                </c:pt>
                <c:pt idx="15">
                  <c:v>595000</c:v>
                </c:pt>
                <c:pt idx="16">
                  <c:v>595000</c:v>
                </c:pt>
                <c:pt idx="17">
                  <c:v>595000</c:v>
                </c:pt>
                <c:pt idx="18">
                  <c:v>595000</c:v>
                </c:pt>
                <c:pt idx="19">
                  <c:v>595000</c:v>
                </c:pt>
                <c:pt idx="20">
                  <c:v>595000</c:v>
                </c:pt>
              </c:numCache>
            </c:numRef>
          </c:val>
          <c:smooth val="0"/>
          <c:extLst>
            <c:ext xmlns:c16="http://schemas.microsoft.com/office/drawing/2014/chart" uri="{C3380CC4-5D6E-409C-BE32-E72D297353CC}">
              <c16:uniqueId val="{00000001-38AD-43C2-AB14-890B9C1DD8A8}"/>
            </c:ext>
          </c:extLst>
        </c:ser>
        <c:ser>
          <c:idx val="2"/>
          <c:order val="2"/>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2-38AD-43C2-AB14-890B9C1DD8A8}"/>
            </c:ext>
          </c:extLst>
        </c:ser>
        <c:ser>
          <c:idx val="3"/>
          <c:order val="3"/>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57300</c:v>
                </c:pt>
                <c:pt idx="2">
                  <c:v>114600</c:v>
                </c:pt>
                <c:pt idx="3">
                  <c:v>171900</c:v>
                </c:pt>
                <c:pt idx="4">
                  <c:v>229200</c:v>
                </c:pt>
                <c:pt idx="5">
                  <c:v>286500</c:v>
                </c:pt>
                <c:pt idx="6">
                  <c:v>343800</c:v>
                </c:pt>
                <c:pt idx="7">
                  <c:v>401100</c:v>
                </c:pt>
                <c:pt idx="8">
                  <c:v>458400</c:v>
                </c:pt>
                <c:pt idx="9">
                  <c:v>515700</c:v>
                </c:pt>
                <c:pt idx="10">
                  <c:v>573000</c:v>
                </c:pt>
                <c:pt idx="11">
                  <c:v>630300</c:v>
                </c:pt>
                <c:pt idx="12">
                  <c:v>687600</c:v>
                </c:pt>
                <c:pt idx="13">
                  <c:v>744900</c:v>
                </c:pt>
                <c:pt idx="14">
                  <c:v>802200</c:v>
                </c:pt>
                <c:pt idx="15">
                  <c:v>859500</c:v>
                </c:pt>
                <c:pt idx="16">
                  <c:v>916800</c:v>
                </c:pt>
                <c:pt idx="17">
                  <c:v>974100</c:v>
                </c:pt>
                <c:pt idx="18">
                  <c:v>1031400</c:v>
                </c:pt>
                <c:pt idx="19">
                  <c:v>1088700</c:v>
                </c:pt>
                <c:pt idx="20">
                  <c:v>1146000</c:v>
                </c:pt>
              </c:numCache>
            </c:numRef>
          </c:val>
          <c:smooth val="0"/>
          <c:extLst>
            <c:ext xmlns:c16="http://schemas.microsoft.com/office/drawing/2014/chart" uri="{C3380CC4-5D6E-409C-BE32-E72D297353CC}">
              <c16:uniqueId val="{00000003-38AD-43C2-AB14-890B9C1DD8A8}"/>
            </c:ext>
          </c:extLst>
        </c:ser>
        <c:ser>
          <c:idx val="4"/>
          <c:order val="4"/>
          <c:tx>
            <c:strRef>
              <c:f>'6. Pay back time'!$J$9:$J$11</c:f>
              <c:strCache>
                <c:ptCount val="3"/>
                <c:pt idx="0">
                  <c:v>Payback_1 Decrease energy/water costs (€)</c:v>
                </c:pt>
                <c:pt idx="1">
                  <c:v>Option 1. Energy/water prices change</c:v>
                </c:pt>
              </c:strCache>
            </c:strRef>
          </c:tx>
          <c:spPr>
            <a:ln w="28575" cap="rnd">
              <a:solidFill>
                <a:srgbClr val="7030A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4-38AD-43C2-AB14-890B9C1DD8A8}"/>
            </c:ext>
          </c:extLst>
        </c:ser>
        <c:ser>
          <c:idx val="5"/>
          <c:order val="5"/>
          <c:tx>
            <c:strRef>
              <c:f>'6. Pay back time'!$K$9:$K$11</c:f>
              <c:strCache>
                <c:ptCount val="3"/>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57300</c:v>
                </c:pt>
                <c:pt idx="2">
                  <c:v>116319</c:v>
                </c:pt>
                <c:pt idx="3">
                  <c:v>177108.57</c:v>
                </c:pt>
                <c:pt idx="4">
                  <c:v>239721.82709999999</c:v>
                </c:pt>
                <c:pt idx="5">
                  <c:v>304213.481913</c:v>
                </c:pt>
                <c:pt idx="6">
                  <c:v>370639.88637039001</c:v>
                </c:pt>
                <c:pt idx="7">
                  <c:v>439059.08296150173</c:v>
                </c:pt>
                <c:pt idx="8">
                  <c:v>509530.85545034683</c:v>
                </c:pt>
                <c:pt idx="9">
                  <c:v>582116.78111385729</c:v>
                </c:pt>
                <c:pt idx="10">
                  <c:v>656880.28454727307</c:v>
                </c:pt>
                <c:pt idx="11">
                  <c:v>733886.69308369129</c:v>
                </c:pt>
                <c:pt idx="12">
                  <c:v>813203.29387620208</c:v>
                </c:pt>
                <c:pt idx="13">
                  <c:v>894899.39269248815</c:v>
                </c:pt>
                <c:pt idx="14">
                  <c:v>979046.37447326281</c:v>
                </c:pt>
                <c:pt idx="15">
                  <c:v>1065717.7657074607</c:v>
                </c:pt>
                <c:pt idx="16">
                  <c:v>1154989.2986786845</c:v>
                </c:pt>
                <c:pt idx="17">
                  <c:v>1246938.9776390451</c:v>
                </c:pt>
                <c:pt idx="18">
                  <c:v>1341647.1469682164</c:v>
                </c:pt>
                <c:pt idx="19">
                  <c:v>1439196.5613772629</c:v>
                </c:pt>
                <c:pt idx="20">
                  <c:v>1539672.4582185808</c:v>
                </c:pt>
              </c:numCache>
            </c:numRef>
          </c:val>
          <c:smooth val="0"/>
          <c:extLst>
            <c:ext xmlns:c16="http://schemas.microsoft.com/office/drawing/2014/chart" uri="{C3380CC4-5D6E-409C-BE32-E72D297353CC}">
              <c16:uniqueId val="{00000005-38AD-43C2-AB14-890B9C1DD8A8}"/>
            </c:ext>
          </c:extLst>
        </c:ser>
        <c:ser>
          <c:idx val="6"/>
          <c:order val="6"/>
          <c:tx>
            <c:strRef>
              <c:f>'6. Pay back time'!$L$9:$L$11</c:f>
              <c:strCache>
                <c:ptCount val="3"/>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6-38AD-43C2-AB14-890B9C1DD8A8}"/>
            </c:ext>
          </c:extLst>
        </c:ser>
        <c:ser>
          <c:idx val="7"/>
          <c:order val="7"/>
          <c:tx>
            <c:strRef>
              <c:f>'6. Pay back time'!$M$9:$M$11</c:f>
              <c:strCache>
                <c:ptCount val="3"/>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57300</c:v>
                </c:pt>
                <c:pt idx="2">
                  <c:v>118038</c:v>
                </c:pt>
                <c:pt idx="3">
                  <c:v>182420.28</c:v>
                </c:pt>
                <c:pt idx="4">
                  <c:v>250665.49680000002</c:v>
                </c:pt>
                <c:pt idx="5">
                  <c:v>323005.42660800007</c:v>
                </c:pt>
                <c:pt idx="6">
                  <c:v>399685.75220448012</c:v>
                </c:pt>
                <c:pt idx="7">
                  <c:v>480966.89733674895</c:v>
                </c:pt>
                <c:pt idx="8">
                  <c:v>567124.91117695393</c:v>
                </c:pt>
                <c:pt idx="9">
                  <c:v>658452.40584757121</c:v>
                </c:pt>
                <c:pt idx="10">
                  <c:v>755259.55019842554</c:v>
                </c:pt>
                <c:pt idx="11">
                  <c:v>857875.12321033108</c:v>
                </c:pt>
                <c:pt idx="12">
                  <c:v>966647.63060295105</c:v>
                </c:pt>
                <c:pt idx="13">
                  <c:v>1081946.4884391283</c:v>
                </c:pt>
                <c:pt idx="14">
                  <c:v>1204163.277745476</c:v>
                </c:pt>
                <c:pt idx="15">
                  <c:v>1333713.0744102045</c:v>
                </c:pt>
                <c:pt idx="16">
                  <c:v>1471035.8588748169</c:v>
                </c:pt>
                <c:pt idx="17">
                  <c:v>1616598.010407306</c:v>
                </c:pt>
                <c:pt idx="18">
                  <c:v>1770893.8910317444</c:v>
                </c:pt>
                <c:pt idx="19">
                  <c:v>1934447.5244936491</c:v>
                </c:pt>
                <c:pt idx="20">
                  <c:v>2107814.3759632683</c:v>
                </c:pt>
              </c:numCache>
            </c:numRef>
          </c:val>
          <c:smooth val="0"/>
          <c:extLst>
            <c:ext xmlns:c16="http://schemas.microsoft.com/office/drawing/2014/chart" uri="{C3380CC4-5D6E-409C-BE32-E72D297353CC}">
              <c16:uniqueId val="{00000007-38AD-43C2-AB14-890B9C1DD8A8}"/>
            </c:ext>
          </c:extLst>
        </c:ser>
        <c:dLbls>
          <c:showLegendKey val="0"/>
          <c:showVal val="0"/>
          <c:showCatName val="0"/>
          <c:showSerName val="0"/>
          <c:showPercent val="0"/>
          <c:showBubbleSize val="0"/>
        </c:dLbls>
        <c:smooth val="0"/>
        <c:axId val="585961384"/>
        <c:axId val="585966872"/>
      </c:lineChart>
      <c:catAx>
        <c:axId val="5859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6872"/>
        <c:crosses val="autoZero"/>
        <c:auto val="1"/>
        <c:lblAlgn val="ctr"/>
        <c:lblOffset val="100"/>
        <c:noMultiLvlLbl val="0"/>
      </c:catAx>
      <c:valAx>
        <c:axId val="585966872"/>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1384"/>
        <c:crosses val="autoZero"/>
        <c:crossBetween val="between"/>
      </c:valAx>
      <c:spPr>
        <a:noFill/>
        <a:ln>
          <a:noFill/>
        </a:ln>
        <a:effectLst/>
      </c:spPr>
    </c:plotArea>
    <c:legend>
      <c:legendPos val="b"/>
      <c:layout>
        <c:manualLayout>
          <c:xMode val="edge"/>
          <c:yMode val="edge"/>
          <c:x val="7.9326334208224006E-2"/>
          <c:y val="0.56980775928778504"/>
          <c:w val="0.84134733158355202"/>
          <c:h val="0.42932203527635798"/>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Change of CO2- emissions(t) 2</a:t>
            </a:r>
          </a:p>
        </c:rich>
      </c:tx>
      <c:layout>
        <c:manualLayout>
          <c:xMode val="edge"/>
          <c:yMode val="edge"/>
          <c:x val="0.23221212121212101"/>
          <c:y val="2.9661016949152502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075518969219799"/>
          <c:y val="0.16139830508474601"/>
          <c:w val="0.79379026485325699"/>
          <c:h val="0.63487221406646199"/>
        </c:manualLayout>
      </c:layout>
      <c:lineChart>
        <c:grouping val="standard"/>
        <c:varyColors val="0"/>
        <c:ser>
          <c:idx val="1"/>
          <c:order val="0"/>
          <c:tx>
            <c:strRef>
              <c:f>'7. Change of CO2 emissions'!$G$11</c:f>
              <c:strCache>
                <c:ptCount val="1"/>
                <c:pt idx="0">
                  <c:v>CO2_2</c:v>
                </c:pt>
              </c:strCache>
            </c:strRef>
          </c:tx>
          <c:spPr>
            <a:ln w="28575" cap="rnd">
              <a:solidFill>
                <a:srgbClr val="92D050"/>
              </a:solidFill>
              <a:prstDash val="dash"/>
              <a:round/>
            </a:ln>
            <a:effectLst/>
          </c:spPr>
          <c:marker>
            <c:symbol val="none"/>
          </c:marker>
          <c:cat>
            <c:numRef>
              <c:f>[0]!Year_2CO2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-102</c:v>
                </c:pt>
                <c:pt idx="2">
                  <c:v>-204</c:v>
                </c:pt>
                <c:pt idx="3">
                  <c:v>-306</c:v>
                </c:pt>
                <c:pt idx="4">
                  <c:v>-408</c:v>
                </c:pt>
                <c:pt idx="5">
                  <c:v>-510</c:v>
                </c:pt>
                <c:pt idx="6">
                  <c:v>-612</c:v>
                </c:pt>
                <c:pt idx="7">
                  <c:v>-714</c:v>
                </c:pt>
                <c:pt idx="8">
                  <c:v>-816</c:v>
                </c:pt>
                <c:pt idx="9">
                  <c:v>-918</c:v>
                </c:pt>
                <c:pt idx="10">
                  <c:v>-1020</c:v>
                </c:pt>
                <c:pt idx="11">
                  <c:v>-1122</c:v>
                </c:pt>
                <c:pt idx="12">
                  <c:v>-1224</c:v>
                </c:pt>
                <c:pt idx="13">
                  <c:v>-1326</c:v>
                </c:pt>
                <c:pt idx="14">
                  <c:v>-1428</c:v>
                </c:pt>
                <c:pt idx="15">
                  <c:v>-1530</c:v>
                </c:pt>
                <c:pt idx="16">
                  <c:v>-1632</c:v>
                </c:pt>
                <c:pt idx="17">
                  <c:v>-1734</c:v>
                </c:pt>
                <c:pt idx="18">
                  <c:v>-1836</c:v>
                </c:pt>
                <c:pt idx="19">
                  <c:v>-1938</c:v>
                </c:pt>
                <c:pt idx="20">
                  <c:v>-2040</c:v>
                </c:pt>
              </c:numCache>
            </c:numRef>
          </c:val>
          <c:smooth val="0"/>
          <c:extLst>
            <c:ext xmlns:c16="http://schemas.microsoft.com/office/drawing/2014/chart" uri="{C3380CC4-5D6E-409C-BE32-E72D297353CC}">
              <c16:uniqueId val="{00000000-6599-43E2-A0F8-24B5754C459E}"/>
            </c:ext>
          </c:extLst>
        </c:ser>
        <c:dLbls>
          <c:showLegendKey val="0"/>
          <c:showVal val="0"/>
          <c:showCatName val="0"/>
          <c:showSerName val="0"/>
          <c:showPercent val="0"/>
          <c:showBubbleSize val="0"/>
        </c:dLbls>
        <c:smooth val="0"/>
        <c:axId val="585965304"/>
        <c:axId val="585966480"/>
      </c:lineChart>
      <c:catAx>
        <c:axId val="585965304"/>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6480"/>
        <c:crosses val="autoZero"/>
        <c:auto val="1"/>
        <c:lblAlgn val="ctr"/>
        <c:lblOffset val="100"/>
        <c:noMultiLvlLbl val="0"/>
      </c:catAx>
      <c:valAx>
        <c:axId val="585966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5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Change of CO2- emissions(t) 1</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688885941324699"/>
          <c:y val="0.17171296296296301"/>
          <c:w val="0.80554605636010701"/>
          <c:h val="0.60106408573928305"/>
        </c:manualLayout>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[0]!Year_1CO2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5247-4292-9434-412BA832B5F2}"/>
            </c:ext>
          </c:extLst>
        </c:ser>
        <c:dLbls>
          <c:showLegendKey val="0"/>
          <c:showVal val="0"/>
          <c:showCatName val="0"/>
          <c:showSerName val="0"/>
          <c:showPercent val="0"/>
          <c:showBubbleSize val="0"/>
        </c:dLbls>
        <c:smooth val="0"/>
        <c:axId val="585962952"/>
        <c:axId val="585960208"/>
      </c:lineChart>
      <c:catAx>
        <c:axId val="585962952"/>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0208"/>
        <c:crosses val="autoZero"/>
        <c:auto val="1"/>
        <c:lblAlgn val="ctr"/>
        <c:lblOffset val="100"/>
        <c:noMultiLvlLbl val="1"/>
      </c:catAx>
      <c:valAx>
        <c:axId val="585960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r>
                  <a:rPr lang="en-US"/>
                  <a:t>Change of CO2-emissions (t)</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2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Change of CO2-emissions (t), both measures</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'7. Change of CO2 emissions'!$F$11</c:f>
              <c:strCache>
                <c:ptCount val="1"/>
                <c:pt idx="0">
                  <c:v>CO2_1</c:v>
                </c:pt>
              </c:strCache>
            </c:strRef>
          </c:tx>
          <c:spPr>
            <a:ln w="28575" cap="rnd">
              <a:solidFill>
                <a:srgbClr val="92D050"/>
              </a:solidFill>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[0]!CO2_1</c:f>
              <c:numCache>
                <c:formatCode>0</c:formatCode>
                <c:ptCount val="21"/>
                <c:pt idx="0" formatCode="General">
                  <c:v>0</c:v>
                </c:pt>
                <c:pt idx="1">
                  <c:v>-20.399999999999999</c:v>
                </c:pt>
                <c:pt idx="2">
                  <c:v>-40.799999999999997</c:v>
                </c:pt>
                <c:pt idx="3">
                  <c:v>-61.2</c:v>
                </c:pt>
                <c:pt idx="4">
                  <c:v>-81.599999999999994</c:v>
                </c:pt>
                <c:pt idx="5">
                  <c:v>-102</c:v>
                </c:pt>
                <c:pt idx="6">
                  <c:v>-122.4</c:v>
                </c:pt>
                <c:pt idx="7">
                  <c:v>-142.80000000000001</c:v>
                </c:pt>
                <c:pt idx="8">
                  <c:v>-163.19999999999999</c:v>
                </c:pt>
                <c:pt idx="9">
                  <c:v>-183.6</c:v>
                </c:pt>
                <c:pt idx="10">
                  <c:v>-204</c:v>
                </c:pt>
                <c:pt idx="11">
                  <c:v>-224.4</c:v>
                </c:pt>
                <c:pt idx="12">
                  <c:v>-244.8</c:v>
                </c:pt>
                <c:pt idx="13">
                  <c:v>-265.2</c:v>
                </c:pt>
                <c:pt idx="14">
                  <c:v>-285.60000000000002</c:v>
                </c:pt>
                <c:pt idx="15">
                  <c:v>-306</c:v>
                </c:pt>
                <c:pt idx="16">
                  <c:v>-326.39999999999998</c:v>
                </c:pt>
                <c:pt idx="17">
                  <c:v>-346.8</c:v>
                </c:pt>
                <c:pt idx="18">
                  <c:v>-367.2</c:v>
                </c:pt>
                <c:pt idx="19">
                  <c:v>-387.6</c:v>
                </c:pt>
                <c:pt idx="20">
                  <c:v>-408</c:v>
                </c:pt>
              </c:numCache>
            </c:numRef>
          </c:val>
          <c:smooth val="0"/>
          <c:extLst>
            <c:ext xmlns:c16="http://schemas.microsoft.com/office/drawing/2014/chart" uri="{C3380CC4-5D6E-409C-BE32-E72D297353CC}">
              <c16:uniqueId val="{00000000-698E-46D7-B713-C71F0DF2D2F5}"/>
            </c:ext>
          </c:extLst>
        </c:ser>
        <c:ser>
          <c:idx val="1"/>
          <c:order val="1"/>
          <c:tx>
            <c:strRef>
              <c:f>'7. Change of CO2 emissions'!$G$11</c:f>
              <c:strCache>
                <c:ptCount val="1"/>
                <c:pt idx="0">
                  <c:v>CO2_2</c:v>
                </c:pt>
              </c:strCache>
            </c:strRef>
          </c:tx>
          <c:spPr>
            <a:ln w="28575" cap="rnd">
              <a:solidFill>
                <a:srgbClr val="92D050"/>
              </a:solidFill>
              <a:prstDash val="dash"/>
              <a:round/>
            </a:ln>
            <a:effectLst/>
          </c:spPr>
          <c:marker>
            <c:symbol val="none"/>
          </c:marker>
          <c:cat>
            <c:numRef>
              <c:f>[0]!Year_CO2_biggest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[0]!CO2_2</c:f>
              <c:numCache>
                <c:formatCode>General</c:formatCode>
                <c:ptCount val="21"/>
                <c:pt idx="0">
                  <c:v>0</c:v>
                </c:pt>
                <c:pt idx="1">
                  <c:v>-102</c:v>
                </c:pt>
                <c:pt idx="2">
                  <c:v>-204</c:v>
                </c:pt>
                <c:pt idx="3">
                  <c:v>-306</c:v>
                </c:pt>
                <c:pt idx="4">
                  <c:v>-408</c:v>
                </c:pt>
                <c:pt idx="5">
                  <c:v>-510</c:v>
                </c:pt>
                <c:pt idx="6">
                  <c:v>-612</c:v>
                </c:pt>
                <c:pt idx="7">
                  <c:v>-714</c:v>
                </c:pt>
                <c:pt idx="8">
                  <c:v>-816</c:v>
                </c:pt>
                <c:pt idx="9">
                  <c:v>-918</c:v>
                </c:pt>
                <c:pt idx="10">
                  <c:v>-1020</c:v>
                </c:pt>
                <c:pt idx="11">
                  <c:v>-1122</c:v>
                </c:pt>
                <c:pt idx="12">
                  <c:v>-1224</c:v>
                </c:pt>
                <c:pt idx="13">
                  <c:v>-1326</c:v>
                </c:pt>
                <c:pt idx="14">
                  <c:v>-1428</c:v>
                </c:pt>
                <c:pt idx="15">
                  <c:v>-1530</c:v>
                </c:pt>
                <c:pt idx="16">
                  <c:v>-1632</c:v>
                </c:pt>
                <c:pt idx="17">
                  <c:v>-1734</c:v>
                </c:pt>
                <c:pt idx="18">
                  <c:v>-1836</c:v>
                </c:pt>
                <c:pt idx="19">
                  <c:v>-1938</c:v>
                </c:pt>
                <c:pt idx="20">
                  <c:v>-2040</c:v>
                </c:pt>
              </c:numCache>
            </c:numRef>
          </c:val>
          <c:smooth val="0"/>
          <c:extLst>
            <c:ext xmlns:c16="http://schemas.microsoft.com/office/drawing/2014/chart" uri="{C3380CC4-5D6E-409C-BE32-E72D297353CC}">
              <c16:uniqueId val="{00000001-698E-46D7-B713-C71F0DF2D2F5}"/>
            </c:ext>
          </c:extLst>
        </c:ser>
        <c:dLbls>
          <c:showLegendKey val="0"/>
          <c:showVal val="0"/>
          <c:showCatName val="0"/>
          <c:showSerName val="0"/>
          <c:showPercent val="0"/>
          <c:showBubbleSize val="0"/>
        </c:dLbls>
        <c:smooth val="0"/>
        <c:axId val="585962168"/>
        <c:axId val="585962560"/>
      </c:lineChart>
      <c:catAx>
        <c:axId val="585962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2560"/>
        <c:crosses val="autoZero"/>
        <c:auto val="1"/>
        <c:lblAlgn val="ctr"/>
        <c:lblOffset val="100"/>
        <c:noMultiLvlLbl val="0"/>
      </c:catAx>
      <c:valAx>
        <c:axId val="585962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585962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Cash</a:t>
            </a:r>
            <a:r>
              <a:rPr lang="en-US" baseline="0"/>
              <a:t> </a:t>
            </a:r>
            <a:r>
              <a:rPr lang="en-US"/>
              <a:t>flow 1</a:t>
            </a:r>
          </a:p>
          <a:p>
            <a:pPr>
              <a:defRPr/>
            </a:pPr>
            <a:r>
              <a:rPr lang="en-US"/>
              <a:t> </a:t>
            </a:r>
          </a:p>
        </c:rich>
      </c:tx>
      <c:layout>
        <c:manualLayout>
          <c:xMode val="edge"/>
          <c:yMode val="edge"/>
          <c:x val="0.44267716535433099"/>
          <c:y val="1.54838646750867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871223288869699"/>
          <c:y val="7.3373601180113698E-2"/>
          <c:w val="0.78543764523625104"/>
          <c:h val="0.65751149394916297"/>
        </c:manualLayout>
      </c:layout>
      <c:lineChart>
        <c:grouping val="standard"/>
        <c:varyColors val="0"/>
        <c:ser>
          <c:idx val="0"/>
          <c:order val="0"/>
          <c:tx>
            <c:strRef>
              <c:f>'4. Cash flow '!$F$9</c:f>
              <c:strCache>
                <c:ptCount val="1"/>
                <c:pt idx="0">
                  <c:v>Cashflow_1</c:v>
                </c:pt>
              </c:strCache>
            </c:strRef>
          </c:tx>
          <c:spPr>
            <a:ln w="28575" cap="rnd">
              <a:solidFill>
                <a:srgbClr val="92D05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c:f>
              <c:numCache>
                <c:formatCode>#\ ##0_ ;\-#\ ##0\ </c:formatCode>
                <c:ptCount val="21"/>
                <c:pt idx="0">
                  <c:v>-156400</c:v>
                </c:pt>
                <c:pt idx="1">
                  <c:v>-149908</c:v>
                </c:pt>
                <c:pt idx="2">
                  <c:v>-143286.16</c:v>
                </c:pt>
                <c:pt idx="3">
                  <c:v>-136531.88320000001</c:v>
                </c:pt>
                <c:pt idx="4">
                  <c:v>-129642.52086400001</c:v>
                </c:pt>
                <c:pt idx="5">
                  <c:v>-122615.37128128001</c:v>
                </c:pt>
                <c:pt idx="6">
                  <c:v>-115447.6787069056</c:v>
                </c:pt>
                <c:pt idx="7">
                  <c:v>-108136.63228104371</c:v>
                </c:pt>
                <c:pt idx="8">
                  <c:v>-100679.36492666458</c:v>
                </c:pt>
                <c:pt idx="9">
                  <c:v>-93072.952225197878</c:v>
                </c:pt>
                <c:pt idx="10">
                  <c:v>-85314.411269701843</c:v>
                </c:pt>
                <c:pt idx="11">
                  <c:v>-77400.699495095876</c:v>
                </c:pt>
                <c:pt idx="12">
                  <c:v>-69328.713484997788</c:v>
                </c:pt>
                <c:pt idx="13">
                  <c:v>-61095.287754697747</c:v>
                </c:pt>
                <c:pt idx="14">
                  <c:v>-52697.193509791701</c:v>
                </c:pt>
                <c:pt idx="15">
                  <c:v>-44131.137379987536</c:v>
                </c:pt>
                <c:pt idx="16">
                  <c:v>-35393.760127587288</c:v>
                </c:pt>
                <c:pt idx="17">
                  <c:v>-26481.635330139034</c:v>
                </c:pt>
                <c:pt idx="18">
                  <c:v>-17391.268036741814</c:v>
                </c:pt>
                <c:pt idx="19">
                  <c:v>-8119.0933974766504</c:v>
                </c:pt>
                <c:pt idx="20">
                  <c:v>1338.5247345738167</c:v>
                </c:pt>
              </c:numCache>
            </c:numRef>
          </c:val>
          <c:smooth val="0"/>
          <c:extLst>
            <c:ext xmlns:c16="http://schemas.microsoft.com/office/drawing/2014/chart" uri="{C3380CC4-5D6E-409C-BE32-E72D297353CC}">
              <c16:uniqueId val="{00000000-380D-4B83-B284-F4BD56882904}"/>
            </c:ext>
          </c:extLst>
        </c:ser>
        <c:ser>
          <c:idx val="1"/>
          <c:order val="1"/>
          <c:tx>
            <c:strRef>
              <c:f>'4. Cash flow '!$H$9</c:f>
              <c:strCache>
                <c:ptCount val="1"/>
                <c:pt idx="0">
                  <c:v>Cashflow_1_Option 1. Energy/water prices change</c:v>
                </c:pt>
              </c:strCache>
            </c:strRef>
          </c:tx>
          <c:spPr>
            <a:ln w="28575" cap="rnd">
              <a:solidFill>
                <a:srgbClr val="7030A0"/>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[0]!Cashflow_1ep_change</c:f>
              <c:numCache>
                <c:formatCode>#\ ##0_ ;\-#\ ##0\ </c:formatCode>
                <c:ptCount val="21"/>
                <c:pt idx="0">
                  <c:v>-156400</c:v>
                </c:pt>
                <c:pt idx="1">
                  <c:v>-149908</c:v>
                </c:pt>
                <c:pt idx="2">
                  <c:v>-142942.36000000002</c:v>
                </c:pt>
                <c:pt idx="3">
                  <c:v>-135483.29320000001</c:v>
                </c:pt>
                <c:pt idx="4">
                  <c:v>-127510.30764400001</c:v>
                </c:pt>
                <c:pt idx="5">
                  <c:v>-119002.18283428001</c:v>
                </c:pt>
                <c:pt idx="6">
                  <c:v>-109936.9455994876</c:v>
                </c:pt>
                <c:pt idx="7">
                  <c:v>-100291.84519325502</c:v>
                </c:pt>
                <c:pt idx="8">
                  <c:v>-90043.327599351105</c:v>
                </c:pt>
                <c:pt idx="9">
                  <c:v>-79167.009018636061</c:v>
                </c:pt>
                <c:pt idx="10">
                  <c:v>-67637.648512325643</c:v>
                </c:pt>
                <c:pt idx="11">
                  <c:v>-55429.119775288513</c:v>
                </c:pt>
                <c:pt idx="12">
                  <c:v>-42514.382012292132</c:v>
                </c:pt>
                <c:pt idx="13">
                  <c:v>-28865.449889280761</c:v>
                </c:pt>
                <c:pt idx="14">
                  <c:v>-14453.362530911443</c:v>
                </c:pt>
                <c:pt idx="15">
                  <c:v>751.84846530990671</c:v>
                </c:pt>
                <c:pt idx="16">
                  <c:v>16766.155059554672</c:v>
                </c:pt>
                <c:pt idx="17">
                  <c:v>33316.090851626781</c:v>
                </c:pt>
                <c:pt idx="18">
                  <c:v>50417.724717461053</c:v>
                </c:pt>
                <c:pt idx="19">
                  <c:v>68087.60759927037</c:v>
                </c:pt>
                <c:pt idx="20">
                  <c:v>86342.786967533961</c:v>
                </c:pt>
              </c:numCache>
            </c:numRef>
          </c:val>
          <c:smooth val="0"/>
          <c:extLst>
            <c:ext xmlns:c16="http://schemas.microsoft.com/office/drawing/2014/chart" uri="{C3380CC4-5D6E-409C-BE32-E72D297353CC}">
              <c16:uniqueId val="{00000001-380D-4B83-B284-F4BD56882904}"/>
            </c:ext>
          </c:extLst>
        </c:ser>
        <c:ser>
          <c:idx val="2"/>
          <c:order val="2"/>
          <c:tx>
            <c:strRef>
              <c:f>'4. Cash flow '!$J$9</c:f>
              <c:strCache>
                <c:ptCount val="1"/>
                <c:pt idx="0">
                  <c:v>Cashflow_1 Option 2. Energy/water prices change</c:v>
                </c:pt>
              </c:strCache>
            </c:strRef>
          </c:tx>
          <c:spPr>
            <a:ln w="28575" cap="rnd">
              <a:solidFill>
                <a:schemeClr val="bg2">
                  <a:lumMod val="50000"/>
                </a:schemeClr>
              </a:solidFill>
              <a:round/>
            </a:ln>
            <a:effectLst/>
          </c:spPr>
          <c:marker>
            <c:symbol val="none"/>
          </c:marker>
          <c:cat>
            <c:numRef>
              <c:f>[0]!Year_1Cf</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[0]!Cashflow_1_ep_change2</c:f>
              <c:numCache>
                <c:formatCode>#\ ##0_ ;\-#\ ##0\ </c:formatCode>
                <c:ptCount val="21"/>
                <c:pt idx="0">
                  <c:v>-156400</c:v>
                </c:pt>
                <c:pt idx="1">
                  <c:v>-149908</c:v>
                </c:pt>
                <c:pt idx="2">
                  <c:v>-142598.56</c:v>
                </c:pt>
                <c:pt idx="3">
                  <c:v>-134414.07520000002</c:v>
                </c:pt>
                <c:pt idx="4">
                  <c:v>-125293.31334400002</c:v>
                </c:pt>
                <c:pt idx="5">
                  <c:v>-115171.19364928002</c:v>
                </c:pt>
                <c:pt idx="6">
                  <c:v>-103978.55240296962</c:v>
                </c:pt>
                <c:pt idx="7">
                  <c:v>-91641.89442457525</c:v>
                </c:pt>
                <c:pt idx="8">
                  <c:v>-78083.12954502576</c:v>
                </c:pt>
                <c:pt idx="9">
                  <c:v>-63219.293201802822</c:v>
                </c:pt>
                <c:pt idx="10">
                  <c:v>-46962.250195668028</c:v>
                </c:pt>
                <c:pt idx="11">
                  <c:v>-29218.380597200285</c:v>
                </c:pt>
                <c:pt idx="12">
                  <c:v>-9888.246730620318</c:v>
                </c:pt>
                <c:pt idx="13">
                  <c:v>11133.759902002685</c:v>
                </c:pt>
                <c:pt idx="14">
                  <c:v>33737.117763272225</c:v>
                </c:pt>
                <c:pt idx="15">
                  <c:v>57807.077096217938</c:v>
                </c:pt>
                <c:pt idx="16">
                  <c:v>83431.633989140391</c:v>
                </c:pt>
                <c:pt idx="17">
                  <c:v>110704.06429563819</c:v>
                </c:pt>
                <c:pt idx="18">
                  <c:v>139723.24042052586</c:v>
                </c:pt>
                <c:pt idx="19">
                  <c:v>170593.9671129068</c:v>
                </c:pt>
                <c:pt idx="20">
                  <c:v>203427.3374068306</c:v>
                </c:pt>
              </c:numCache>
            </c:numRef>
          </c:val>
          <c:smooth val="0"/>
          <c:extLst>
            <c:ext xmlns:c16="http://schemas.microsoft.com/office/drawing/2014/chart" uri="{C3380CC4-5D6E-409C-BE32-E72D297353CC}">
              <c16:uniqueId val="{00000002-380D-4B83-B284-F4BD56882904}"/>
            </c:ext>
          </c:extLst>
        </c:ser>
        <c:dLbls>
          <c:showLegendKey val="0"/>
          <c:showVal val="0"/>
          <c:showCatName val="0"/>
          <c:showSerName val="0"/>
          <c:showPercent val="0"/>
          <c:showBubbleSize val="0"/>
        </c:dLbls>
        <c:smooth val="0"/>
        <c:axId val="459249624"/>
        <c:axId val="459251192"/>
      </c:lineChart>
      <c:catAx>
        <c:axId val="459249624"/>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1332853941202496"/>
              <c:y val="0.735898263974743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730" b="0" i="0" u="none" strike="noStrike" kern="1200" spc="-100" baseline="0">
                <a:solidFill>
                  <a:schemeClr val="tx1">
                    <a:lumMod val="65000"/>
                    <a:lumOff val="35000"/>
                  </a:schemeClr>
                </a:solidFill>
                <a:latin typeface="+mn-lt"/>
                <a:ea typeface="+mn-ea"/>
                <a:cs typeface="+mn-cs"/>
              </a:defRPr>
            </a:pPr>
            <a:endParaRPr lang="fi-FI"/>
          </a:p>
        </c:txPr>
        <c:crossAx val="459251192"/>
        <c:crosses val="autoZero"/>
        <c:auto val="1"/>
        <c:lblAlgn val="ctr"/>
        <c:lblOffset val="100"/>
        <c:noMultiLvlLbl val="1"/>
      </c:catAx>
      <c:valAx>
        <c:axId val="459251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2.7483550857512699E-3"/>
              <c:y val="3.9149295480884498E-3"/>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9624"/>
        <c:crosses val="autoZero"/>
        <c:crossBetween val="between"/>
      </c:valAx>
      <c:spPr>
        <a:noFill/>
        <a:ln>
          <a:noFill/>
        </a:ln>
        <a:effectLst/>
      </c:spPr>
    </c:plotArea>
    <c:legend>
      <c:legendPos val="b"/>
      <c:layout>
        <c:manualLayout>
          <c:xMode val="edge"/>
          <c:yMode val="edge"/>
          <c:x val="8.5811058540077208E-3"/>
          <c:y val="0.76173149077841795"/>
          <c:w val="0.98236080800321202"/>
          <c:h val="0.209239021296835"/>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Net Present value NPV 1</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20842566897658801"/>
          <c:y val="0.119764959449999"/>
          <c:w val="0.76402874511152397"/>
          <c:h val="0.65799004681484696"/>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FC5D-480E-9369-CD18E7D8F8D3}"/>
            </c:ext>
          </c:extLst>
        </c:ser>
        <c:ser>
          <c:idx val="1"/>
          <c:order val="1"/>
          <c:tx>
            <c:strRef>
              <c:f>'5. NPV'!$H$9</c:f>
              <c:strCache>
                <c:ptCount val="1"/>
                <c:pt idx="0">
                  <c:v>NPV_1 Option 1. Energy/water prices change</c:v>
                </c:pt>
              </c:strCache>
            </c:strRef>
          </c:tx>
          <c:spPr>
            <a:ln w="28575" cap="rnd">
              <a:solidFill>
                <a:srgbClr val="7030A0"/>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1-FC5D-480E-9369-CD18E7D8F8D3}"/>
            </c:ext>
          </c:extLst>
        </c:ser>
        <c:ser>
          <c:idx val="2"/>
          <c:order val="2"/>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[0]!Year_1NPV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2-FC5D-480E-9369-CD18E7D8F8D3}"/>
            </c:ext>
          </c:extLst>
        </c:ser>
        <c:dLbls>
          <c:showLegendKey val="0"/>
          <c:showVal val="0"/>
          <c:showCatName val="0"/>
          <c:showSerName val="0"/>
          <c:showPercent val="0"/>
          <c:showBubbleSize val="0"/>
        </c:dLbls>
        <c:smooth val="0"/>
        <c:axId val="459246488"/>
        <c:axId val="459247664"/>
      </c:lineChart>
      <c:catAx>
        <c:axId val="459246488"/>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734765942067598"/>
              <c:y val="0.54097870633303702"/>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700" b="0" i="0" u="none" strike="noStrike" kern="1200" spc="-100" baseline="0">
                <a:solidFill>
                  <a:schemeClr val="tx1">
                    <a:lumMod val="65000"/>
                    <a:lumOff val="35000"/>
                  </a:schemeClr>
                </a:solidFill>
                <a:latin typeface="+mn-lt"/>
                <a:ea typeface="+mn-ea"/>
                <a:cs typeface="+mn-cs"/>
              </a:defRPr>
            </a:pPr>
            <a:endParaRPr lang="fi-FI"/>
          </a:p>
        </c:txPr>
        <c:crossAx val="459247664"/>
        <c:crosses val="autoZero"/>
        <c:auto val="1"/>
        <c:lblAlgn val="ctr"/>
        <c:lblOffset val="100"/>
        <c:noMultiLvlLbl val="0"/>
      </c:catAx>
      <c:valAx>
        <c:axId val="459247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6488"/>
        <c:crosses val="autoZero"/>
        <c:crossBetween val="between"/>
      </c:valAx>
      <c:spPr>
        <a:noFill/>
        <a:ln>
          <a:noFill/>
        </a:ln>
        <a:effectLst/>
      </c:spPr>
    </c:plotArea>
    <c:legend>
      <c:legendPos val="b"/>
      <c:layout>
        <c:manualLayout>
          <c:xMode val="edge"/>
          <c:yMode val="edge"/>
          <c:x val="3.6248631172758998E-2"/>
          <c:y val="0.77971884264041103"/>
          <c:w val="0.91409918131094603"/>
          <c:h val="0.22028113618664799"/>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fi-FI"/>
              <a:t>Net present value NPV 2</a:t>
            </a:r>
          </a:p>
        </c:rich>
      </c:tx>
      <c:layout>
        <c:manualLayout>
          <c:xMode val="edge"/>
          <c:yMode val="edge"/>
          <c:x val="0.30716577540106899"/>
          <c:y val="2.8513238289205701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47228725420018"/>
          <c:y val="0.116332087816925"/>
          <c:w val="0.78440350167709405"/>
          <c:h val="0.64805124783130896"/>
        </c:manualLayout>
      </c:layout>
      <c:lineChart>
        <c:grouping val="standard"/>
        <c:varyColors val="0"/>
        <c:ser>
          <c:idx val="0"/>
          <c:order val="0"/>
          <c:tx>
            <c:strRef>
              <c:f>'5. NPV'!$G$9</c:f>
              <c:strCache>
                <c:ptCount val="1"/>
                <c:pt idx="0">
                  <c:v>NPV_2</c:v>
                </c:pt>
              </c:strCache>
            </c:strRef>
          </c:tx>
          <c:spPr>
            <a:ln w="28575" cap="rnd">
              <a:solidFill>
                <a:srgbClr val="92D05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-595000</c:v>
                </c:pt>
                <c:pt idx="1">
                  <c:v>-558076.92307692312</c:v>
                </c:pt>
                <c:pt idx="2">
                  <c:v>-521863.90532544383</c:v>
                </c:pt>
                <c:pt idx="3">
                  <c:v>-486347.29176149296</c:v>
                </c:pt>
                <c:pt idx="4">
                  <c:v>-451513.68999684887</c:v>
                </c:pt>
                <c:pt idx="5">
                  <c:v>-417349.96518921718</c:v>
                </c:pt>
                <c:pt idx="6">
                  <c:v>-383843.23508942453</c:v>
                </c:pt>
                <c:pt idx="7">
                  <c:v>-350980.86518385867</c:v>
                </c:pt>
                <c:pt idx="8">
                  <c:v>-318750.46393032291</c:v>
                </c:pt>
                <c:pt idx="9">
                  <c:v>-287139.878085509</c:v>
                </c:pt>
                <c:pt idx="10">
                  <c:v>-256137.18812232616</c:v>
                </c:pt>
                <c:pt idx="11">
                  <c:v>-225730.70373535837</c:v>
                </c:pt>
                <c:pt idx="12">
                  <c:v>-195908.95943275534</c:v>
                </c:pt>
                <c:pt idx="13">
                  <c:v>-166660.71021289469</c:v>
                </c:pt>
                <c:pt idx="14">
                  <c:v>-137974.92732418521</c:v>
                </c:pt>
                <c:pt idx="15">
                  <c:v>-110045.12283770749</c:v>
                </c:pt>
                <c:pt idx="16">
                  <c:v>-83189.541600709679</c:v>
                </c:pt>
                <c:pt idx="17">
                  <c:v>-57366.867334365641</c:v>
                </c:pt>
                <c:pt idx="18">
                  <c:v>-32537.372847496372</c:v>
                </c:pt>
                <c:pt idx="19">
                  <c:v>-8662.8589178143811</c:v>
                </c:pt>
                <c:pt idx="20">
                  <c:v>14293.404476110609</c:v>
                </c:pt>
              </c:numCache>
            </c:numRef>
          </c:val>
          <c:smooth val="0"/>
          <c:extLst>
            <c:ext xmlns:c16="http://schemas.microsoft.com/office/drawing/2014/chart" uri="{C3380CC4-5D6E-409C-BE32-E72D297353CC}">
              <c16:uniqueId val="{00000000-89AE-48BD-8BE1-492A123047A3}"/>
            </c:ext>
          </c:extLst>
        </c:ser>
        <c:ser>
          <c:idx val="1"/>
          <c:order val="1"/>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-595000</c:v>
                </c:pt>
                <c:pt idx="1">
                  <c:v>-558076.92307692312</c:v>
                </c:pt>
                <c:pt idx="2">
                  <c:v>-520274.59319526632</c:v>
                </c:pt>
                <c:pt idx="3">
                  <c:v>-481625.2009131771</c:v>
                </c:pt>
                <c:pt idx="4">
                  <c:v>-442160.17079876736</c:v>
                </c:pt>
                <c:pt idx="5">
                  <c:v>-401910.17757358373</c:v>
                </c:pt>
                <c:pt idx="6">
                  <c:v>-360905.161932041</c:v>
                </c:pt>
                <c:pt idx="7">
                  <c:v>-319174.34604318073</c:v>
                </c:pt>
                <c:pt idx="8">
                  <c:v>-276746.24874099396</c:v>
                </c:pt>
                <c:pt idx="9">
                  <c:v>-233648.70040942443</c:v>
                </c:pt>
                <c:pt idx="10">
                  <c:v>-189908.85756805161</c:v>
                </c:pt>
                <c:pt idx="11">
                  <c:v>-145553.21716433499</c:v>
                </c:pt>
                <c:pt idx="12">
                  <c:v>-100607.63057818712</c:v>
                </c:pt>
                <c:pt idx="13">
                  <c:v>-55747.089293770499</c:v>
                </c:pt>
                <c:pt idx="14">
                  <c:v>-11196.629600465305</c:v>
                </c:pt>
                <c:pt idx="15">
                  <c:v>33042.065833666362</c:v>
                </c:pt>
                <c:pt idx="16">
                  <c:v>76967.50991321</c:v>
                </c:pt>
                <c:pt idx="17">
                  <c:v>120578.40233515613</c:v>
                </c:pt>
                <c:pt idx="18">
                  <c:v>163873.62115845748</c:v>
                </c:pt>
                <c:pt idx="19">
                  <c:v>206852.21470981589</c:v>
                </c:pt>
                <c:pt idx="20">
                  <c:v>249513.39381265198</c:v>
                </c:pt>
              </c:numCache>
            </c:numRef>
          </c:val>
          <c:smooth val="0"/>
          <c:extLst>
            <c:ext xmlns:c16="http://schemas.microsoft.com/office/drawing/2014/chart" uri="{C3380CC4-5D6E-409C-BE32-E72D297353CC}">
              <c16:uniqueId val="{00000001-89AE-48BD-8BE1-492A123047A3}"/>
            </c:ext>
          </c:extLst>
        </c:ser>
        <c:ser>
          <c:idx val="2"/>
          <c:order val="2"/>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[0]!Year_2NPV</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-595000</c:v>
                </c:pt>
                <c:pt idx="1">
                  <c:v>-558076.92307692312</c:v>
                </c:pt>
                <c:pt idx="2">
                  <c:v>-518685.28106508881</c:v>
                </c:pt>
                <c:pt idx="3">
                  <c:v>-476811.4189804279</c:v>
                </c:pt>
                <c:pt idx="4">
                  <c:v>-432440.7689079952</c:v>
                </c:pt>
                <c:pt idx="5">
                  <c:v>-385557.84495204932</c:v>
                </c:pt>
                <c:pt idx="6">
                  <c:v>-336146.23784851027</c:v>
                </c:pt>
                <c:pt idx="7">
                  <c:v>-284188.60923792684</c:v>
                </c:pt>
                <c:pt idx="8">
                  <c:v>-229666.68559696196</c:v>
                </c:pt>
                <c:pt idx="9">
                  <c:v>-172561.25182627738</c:v>
                </c:pt>
                <c:pt idx="10">
                  <c:v>-112852.14449257392</c:v>
                </c:pt>
                <c:pt idx="11">
                  <c:v>-50742.091503544638</c:v>
                </c:pt>
                <c:pt idx="12">
                  <c:v>12824.716342251137</c:v>
                </c:pt>
                <c:pt idx="13">
                  <c:v>77866.203916642626</c:v>
                </c:pt>
                <c:pt idx="14">
                  <c:v>144401.02886378835</c:v>
                </c:pt>
                <c:pt idx="15">
                  <c:v>212448.58076644182</c:v>
                </c:pt>
                <c:pt idx="16">
                  <c:v>282028.98087024206</c:v>
                </c:pt>
                <c:pt idx="17">
                  <c:v>353163.08235468081</c:v>
                </c:pt>
                <c:pt idx="18">
                  <c:v>425872.47114002972</c:v>
                </c:pt>
                <c:pt idx="19">
                  <c:v>500179.46722012066</c:v>
                </c:pt>
                <c:pt idx="20">
                  <c:v>576107.12651146401</c:v>
                </c:pt>
              </c:numCache>
            </c:numRef>
          </c:val>
          <c:smooth val="0"/>
          <c:extLst>
            <c:ext xmlns:c16="http://schemas.microsoft.com/office/drawing/2014/chart" uri="{C3380CC4-5D6E-409C-BE32-E72D297353CC}">
              <c16:uniqueId val="{00000002-89AE-48BD-8BE1-492A123047A3}"/>
            </c:ext>
          </c:extLst>
        </c:ser>
        <c:dLbls>
          <c:showLegendKey val="0"/>
          <c:showVal val="0"/>
          <c:showCatName val="0"/>
          <c:showSerName val="0"/>
          <c:showPercent val="0"/>
          <c:showBubbleSize val="0"/>
        </c:dLbls>
        <c:smooth val="0"/>
        <c:axId val="459244528"/>
        <c:axId val="459250408"/>
      </c:lineChart>
      <c:catAx>
        <c:axId val="459244528"/>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0.92445012726883502"/>
              <c:y val="0.59826905924213802"/>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50408"/>
        <c:crosses val="autoZero"/>
        <c:auto val="1"/>
        <c:lblAlgn val="ctr"/>
        <c:lblOffset val="100"/>
        <c:noMultiLvlLbl val="0"/>
      </c:catAx>
      <c:valAx>
        <c:axId val="459250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4528"/>
        <c:crosses val="autoZero"/>
        <c:crossBetween val="between"/>
      </c:valAx>
      <c:spPr>
        <a:noFill/>
        <a:ln>
          <a:noFill/>
        </a:ln>
        <a:effectLst/>
      </c:spPr>
    </c:plotArea>
    <c:legend>
      <c:legendPos val="b"/>
      <c:layout>
        <c:manualLayout>
          <c:xMode val="edge"/>
          <c:yMode val="edge"/>
          <c:x val="0"/>
          <c:y val="0.77366502068597398"/>
          <c:w val="0.99912395056578196"/>
          <c:h val="0.22416815694648301"/>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Net present value,</a:t>
            </a:r>
            <a:r>
              <a:rPr lang="en-US" baseline="0"/>
              <a:t> </a:t>
            </a:r>
            <a:r>
              <a:rPr lang="en-US"/>
              <a:t>Both measures</a:t>
            </a:r>
          </a:p>
        </c:rich>
      </c:tx>
      <c:layout>
        <c:manualLayout>
          <c:xMode val="edge"/>
          <c:yMode val="edge"/>
          <c:x val="0.32009887021914302"/>
          <c:y val="1.9138755980861202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9381121228371001"/>
          <c:y val="0.128339100346021"/>
          <c:w val="0.76271054037828301"/>
          <c:h val="0.55072419148298501"/>
        </c:manualLayout>
      </c:layout>
      <c:lineChart>
        <c:grouping val="standard"/>
        <c:varyColors val="0"/>
        <c:ser>
          <c:idx val="0"/>
          <c:order val="0"/>
          <c:tx>
            <c:strRef>
              <c:f>'5. NPV'!$F$9</c:f>
              <c:strCache>
                <c:ptCount val="1"/>
                <c:pt idx="0">
                  <c:v>NPV_1</c:v>
                </c:pt>
              </c:strCache>
            </c:strRef>
          </c:tx>
          <c:spPr>
            <a:ln w="28575" cap="rnd">
              <a:solidFill>
                <a:srgbClr val="92D05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c:f>
              <c:numCache>
                <c:formatCode>#\ ##0_ ;\-#\ ##0\ </c:formatCode>
                <c:ptCount val="21"/>
                <c:pt idx="0">
                  <c:v>-156400</c:v>
                </c:pt>
                <c:pt idx="1">
                  <c:v>-150157.69230769231</c:v>
                </c:pt>
                <c:pt idx="2">
                  <c:v>-144035.42899408285</c:v>
                </c:pt>
                <c:pt idx="3">
                  <c:v>-138030.90151342741</c:v>
                </c:pt>
                <c:pt idx="4">
                  <c:v>-132141.84571509226</c:v>
                </c:pt>
                <c:pt idx="5">
                  <c:v>-126366.04098980203</c:v>
                </c:pt>
                <c:pt idx="6">
                  <c:v>-120701.30943230583</c:v>
                </c:pt>
                <c:pt idx="7">
                  <c:v>-115145.51502014611</c:v>
                </c:pt>
                <c:pt idx="8">
                  <c:v>-109696.56280822022</c:v>
                </c:pt>
                <c:pt idx="9">
                  <c:v>-104352.39813883137</c:v>
                </c:pt>
                <c:pt idx="10">
                  <c:v>-99111.005866930762</c:v>
                </c:pt>
                <c:pt idx="11">
                  <c:v>-93970.409600259023</c:v>
                </c:pt>
                <c:pt idx="12">
                  <c:v>-88928.670954100206</c:v>
                </c:pt>
                <c:pt idx="13">
                  <c:v>-83983.888820367516</c:v>
                </c:pt>
                <c:pt idx="14">
                  <c:v>-79134.198650745064</c:v>
                </c:pt>
                <c:pt idx="15">
                  <c:v>-74377.77175361535</c:v>
                </c:pt>
                <c:pt idx="16">
                  <c:v>-69712.814604507366</c:v>
                </c:pt>
                <c:pt idx="17">
                  <c:v>-65137.568169805309</c:v>
                </c:pt>
                <c:pt idx="18">
                  <c:v>-60650.307243462899</c:v>
                </c:pt>
                <c:pt idx="19">
                  <c:v>-56249.339796473228</c:v>
                </c:pt>
                <c:pt idx="20">
                  <c:v>-51933.006338848747</c:v>
                </c:pt>
              </c:numCache>
            </c:numRef>
          </c:val>
          <c:smooth val="0"/>
          <c:extLst>
            <c:ext xmlns:c16="http://schemas.microsoft.com/office/drawing/2014/chart" uri="{C3380CC4-5D6E-409C-BE32-E72D297353CC}">
              <c16:uniqueId val="{00000000-A75A-478E-A03E-D685D2E101E3}"/>
            </c:ext>
          </c:extLst>
        </c:ser>
        <c:ser>
          <c:idx val="1"/>
          <c:order val="1"/>
          <c:tx>
            <c:strRef>
              <c:f>'5. NPV'!$G$9</c:f>
              <c:strCache>
                <c:ptCount val="1"/>
                <c:pt idx="0">
                  <c:v>NPV_2</c:v>
                </c:pt>
              </c:strCache>
            </c:strRef>
          </c:tx>
          <c:spPr>
            <a:ln w="28575" cap="rnd">
              <a:solidFill>
                <a:srgbClr val="92D05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c:f>
              <c:numCache>
                <c:formatCode>#\ ##0_ ;\-#\ ##0\ </c:formatCode>
                <c:ptCount val="21"/>
                <c:pt idx="0">
                  <c:v>-595000</c:v>
                </c:pt>
                <c:pt idx="1">
                  <c:v>-558076.92307692312</c:v>
                </c:pt>
                <c:pt idx="2">
                  <c:v>-521863.90532544383</c:v>
                </c:pt>
                <c:pt idx="3">
                  <c:v>-486347.29176149296</c:v>
                </c:pt>
                <c:pt idx="4">
                  <c:v>-451513.68999684887</c:v>
                </c:pt>
                <c:pt idx="5">
                  <c:v>-417349.96518921718</c:v>
                </c:pt>
                <c:pt idx="6">
                  <c:v>-383843.23508942453</c:v>
                </c:pt>
                <c:pt idx="7">
                  <c:v>-350980.86518385867</c:v>
                </c:pt>
                <c:pt idx="8">
                  <c:v>-318750.46393032291</c:v>
                </c:pt>
                <c:pt idx="9">
                  <c:v>-287139.878085509</c:v>
                </c:pt>
                <c:pt idx="10">
                  <c:v>-256137.18812232616</c:v>
                </c:pt>
                <c:pt idx="11">
                  <c:v>-225730.70373535837</c:v>
                </c:pt>
                <c:pt idx="12">
                  <c:v>-195908.95943275534</c:v>
                </c:pt>
                <c:pt idx="13">
                  <c:v>-166660.71021289469</c:v>
                </c:pt>
                <c:pt idx="14">
                  <c:v>-137974.92732418521</c:v>
                </c:pt>
                <c:pt idx="15">
                  <c:v>-110045.12283770749</c:v>
                </c:pt>
                <c:pt idx="16">
                  <c:v>-83189.541600709679</c:v>
                </c:pt>
                <c:pt idx="17">
                  <c:v>-57366.867334365641</c:v>
                </c:pt>
                <c:pt idx="18">
                  <c:v>-32537.372847496372</c:v>
                </c:pt>
                <c:pt idx="19">
                  <c:v>-8662.8589178143811</c:v>
                </c:pt>
                <c:pt idx="20">
                  <c:v>14293.404476110609</c:v>
                </c:pt>
              </c:numCache>
            </c:numRef>
          </c:val>
          <c:smooth val="0"/>
          <c:extLst>
            <c:ext xmlns:c16="http://schemas.microsoft.com/office/drawing/2014/chart" uri="{C3380CC4-5D6E-409C-BE32-E72D297353CC}">
              <c16:uniqueId val="{00000001-A75A-478E-A03E-D685D2E101E3}"/>
            </c:ext>
          </c:extLst>
        </c:ser>
        <c:ser>
          <c:idx val="2"/>
          <c:order val="2"/>
          <c:tx>
            <c:strRef>
              <c:f>'5. NPV'!$H$9</c:f>
              <c:strCache>
                <c:ptCount val="1"/>
                <c:pt idx="0">
                  <c:v>NPV_1 Option 1. Energy/water prices change</c:v>
                </c:pt>
              </c:strCache>
            </c:strRef>
          </c:tx>
          <c:spPr>
            <a:ln w="28575" cap="rnd">
              <a:solidFill>
                <a:srgbClr val="7030A0"/>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c:f>
              <c:numCache>
                <c:formatCode>#\ ##0_ ;\-#\ ##0\ </c:formatCode>
                <c:ptCount val="21"/>
                <c:pt idx="0">
                  <c:v>-156400</c:v>
                </c:pt>
                <c:pt idx="1">
                  <c:v>-150157.69230769231</c:v>
                </c:pt>
                <c:pt idx="2">
                  <c:v>-143717.56656804733</c:v>
                </c:pt>
                <c:pt idx="3">
                  <c:v>-137086.48334376421</c:v>
                </c:pt>
                <c:pt idx="4">
                  <c:v>-130271.14187547594</c:v>
                </c:pt>
                <c:pt idx="5">
                  <c:v>-123278.08346667532</c:v>
                </c:pt>
                <c:pt idx="6">
                  <c:v>-116113.69480082911</c:v>
                </c:pt>
                <c:pt idx="7">
                  <c:v>-108784.21119201051</c:v>
                </c:pt>
                <c:pt idx="8">
                  <c:v>-101295.71977035442</c:v>
                </c:pt>
                <c:pt idx="9">
                  <c:v>-93654.162603614444</c:v>
                </c:pt>
                <c:pt idx="10">
                  <c:v>-85865.33975607586</c:v>
                </c:pt>
                <c:pt idx="11">
                  <c:v>-77934.912286054358</c:v>
                </c:pt>
                <c:pt idx="12">
                  <c:v>-69868.405183186565</c:v>
                </c:pt>
                <c:pt idx="13">
                  <c:v>-61671.210246694762</c:v>
                </c:pt>
                <c:pt idx="14">
                  <c:v>-53348.588905785342</c:v>
                </c:pt>
                <c:pt idx="15">
                  <c:v>-44905.67498331808</c:v>
                </c:pt>
                <c:pt idx="16">
                  <c:v>-36355.505764711124</c:v>
                </c:pt>
                <c:pt idx="17">
                  <c:v>-27859.211508496675</c:v>
                </c:pt>
                <c:pt idx="18">
                  <c:v>-19417.364117081386</c:v>
                </c:pt>
                <c:pt idx="19">
                  <c:v>-11030.488073391414</c:v>
                </c:pt>
                <c:pt idx="20">
                  <c:v>-2699.0625091527654</c:v>
                </c:pt>
              </c:numCache>
            </c:numRef>
          </c:val>
          <c:smooth val="0"/>
          <c:extLst>
            <c:ext xmlns:c16="http://schemas.microsoft.com/office/drawing/2014/chart" uri="{C3380CC4-5D6E-409C-BE32-E72D297353CC}">
              <c16:uniqueId val="{00000002-A75A-478E-A03E-D685D2E101E3}"/>
            </c:ext>
          </c:extLst>
        </c:ser>
        <c:ser>
          <c:idx val="3"/>
          <c:order val="3"/>
          <c:tx>
            <c:strRef>
              <c:f>'5. NPV'!$I$9</c:f>
              <c:strCache>
                <c:ptCount val="1"/>
                <c:pt idx="0">
                  <c:v>NPV_2 Option 1. Energy/water prices change</c:v>
                </c:pt>
              </c:strCache>
            </c:strRef>
          </c:tx>
          <c:spPr>
            <a:ln w="28575" cap="rnd">
              <a:solidFill>
                <a:srgbClr val="7030A0"/>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c:f>
              <c:numCache>
                <c:formatCode>#\ ##0_ ;\-#\ ##0\ </c:formatCode>
                <c:ptCount val="21"/>
                <c:pt idx="0">
                  <c:v>-595000</c:v>
                </c:pt>
                <c:pt idx="1">
                  <c:v>-558076.92307692312</c:v>
                </c:pt>
                <c:pt idx="2">
                  <c:v>-520274.59319526632</c:v>
                </c:pt>
                <c:pt idx="3">
                  <c:v>-481625.2009131771</c:v>
                </c:pt>
                <c:pt idx="4">
                  <c:v>-442160.17079876736</c:v>
                </c:pt>
                <c:pt idx="5">
                  <c:v>-401910.17757358373</c:v>
                </c:pt>
                <c:pt idx="6">
                  <c:v>-360905.161932041</c:v>
                </c:pt>
                <c:pt idx="7">
                  <c:v>-319174.34604318073</c:v>
                </c:pt>
                <c:pt idx="8">
                  <c:v>-276746.24874099396</c:v>
                </c:pt>
                <c:pt idx="9">
                  <c:v>-233648.70040942443</c:v>
                </c:pt>
                <c:pt idx="10">
                  <c:v>-189908.85756805161</c:v>
                </c:pt>
                <c:pt idx="11">
                  <c:v>-145553.21716433499</c:v>
                </c:pt>
                <c:pt idx="12">
                  <c:v>-100607.63057818712</c:v>
                </c:pt>
                <c:pt idx="13">
                  <c:v>-55747.089293770499</c:v>
                </c:pt>
                <c:pt idx="14">
                  <c:v>-11196.629600465305</c:v>
                </c:pt>
                <c:pt idx="15">
                  <c:v>33042.065833666362</c:v>
                </c:pt>
                <c:pt idx="16">
                  <c:v>76967.50991321</c:v>
                </c:pt>
                <c:pt idx="17">
                  <c:v>120578.40233515613</c:v>
                </c:pt>
                <c:pt idx="18">
                  <c:v>163873.62115845748</c:v>
                </c:pt>
                <c:pt idx="19">
                  <c:v>206852.21470981589</c:v>
                </c:pt>
                <c:pt idx="20">
                  <c:v>249513.39381265198</c:v>
                </c:pt>
              </c:numCache>
            </c:numRef>
          </c:val>
          <c:smooth val="0"/>
          <c:extLst>
            <c:ext xmlns:c16="http://schemas.microsoft.com/office/drawing/2014/chart" uri="{C3380CC4-5D6E-409C-BE32-E72D297353CC}">
              <c16:uniqueId val="{00000003-A75A-478E-A03E-D685D2E101E3}"/>
            </c:ext>
          </c:extLst>
        </c:ser>
        <c:ser>
          <c:idx val="4"/>
          <c:order val="4"/>
          <c:tx>
            <c:strRef>
              <c:f>'5. NPV'!$J$9</c:f>
              <c:strCache>
                <c:ptCount val="1"/>
                <c:pt idx="0">
                  <c:v>NPV_1 Option 2. Energy/water prices change</c:v>
                </c:pt>
              </c:strCache>
            </c:strRef>
          </c:tx>
          <c:spPr>
            <a:ln w="28575" cap="rnd">
              <a:solidFill>
                <a:schemeClr val="bg2">
                  <a:lumMod val="50000"/>
                </a:schemeClr>
              </a:solidFill>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[0]!NPV_1ep_change2</c:f>
              <c:numCache>
                <c:formatCode>#\ ##0_ ;\-#\ ##0\ </c:formatCode>
                <c:ptCount val="21"/>
                <c:pt idx="0">
                  <c:v>-156400</c:v>
                </c:pt>
                <c:pt idx="1">
                  <c:v>-150157.69230769231</c:v>
                </c:pt>
                <c:pt idx="2">
                  <c:v>-143399.70414201185</c:v>
                </c:pt>
                <c:pt idx="3">
                  <c:v>-136123.72695721439</c:v>
                </c:pt>
                <c:pt idx="4">
                  <c:v>-128327.26149732152</c:v>
                </c:pt>
                <c:pt idx="5">
                  <c:v>-120007.61694236846</c:v>
                </c:pt>
                <c:pt idx="6">
                  <c:v>-111161.90998412299</c:v>
                </c:pt>
                <c:pt idx="7">
                  <c:v>-101787.06383095976</c:v>
                </c:pt>
                <c:pt idx="8">
                  <c:v>-91879.807141548052</c:v>
                </c:pt>
                <c:pt idx="9">
                  <c:v>-81436.672886985078</c:v>
                </c:pt>
                <c:pt idx="10">
                  <c:v>-70453.997140980355</c:v>
                </c:pt>
                <c:pt idx="11">
                  <c:v>-58927.917797670532</c:v>
                </c:pt>
                <c:pt idx="12">
                  <c:v>-46854.373216616987</c:v>
                </c:pt>
                <c:pt idx="13">
                  <c:v>-34229.100794512284</c:v>
                </c:pt>
                <c:pt idx="14">
                  <c:v>-21176.224841524745</c:v>
                </c:pt>
                <c:pt idx="15">
                  <c:v>-7811.0308421878981</c:v>
                </c:pt>
                <c:pt idx="16">
                  <c:v>5870.1295812703738</c:v>
                </c:pt>
                <c:pt idx="17">
                  <c:v>19871.065649983339</c:v>
                </c:pt>
                <c:pt idx="18">
                  <c:v>34195.747033808126</c:v>
                </c:pt>
                <c:pt idx="19">
                  <c:v>48848.303583244589</c:v>
                </c:pt>
                <c:pt idx="20">
                  <c:v>63833.025185184684</c:v>
                </c:pt>
              </c:numCache>
            </c:numRef>
          </c:val>
          <c:smooth val="0"/>
          <c:extLst>
            <c:ext xmlns:c16="http://schemas.microsoft.com/office/drawing/2014/chart" uri="{C3380CC4-5D6E-409C-BE32-E72D297353CC}">
              <c16:uniqueId val="{00000004-A75A-478E-A03E-D685D2E101E3}"/>
            </c:ext>
          </c:extLst>
        </c:ser>
        <c:ser>
          <c:idx val="5"/>
          <c:order val="5"/>
          <c:tx>
            <c:strRef>
              <c:f>'5. NPV'!$K$9</c:f>
              <c:strCache>
                <c:ptCount val="1"/>
                <c:pt idx="0">
                  <c:v>NPV_2 Option 2. Energy/water prices change</c:v>
                </c:pt>
              </c:strCache>
            </c:strRef>
          </c:tx>
          <c:spPr>
            <a:ln w="28575" cap="rnd">
              <a:solidFill>
                <a:schemeClr val="bg2">
                  <a:lumMod val="50000"/>
                </a:schemeClr>
              </a:solidFill>
              <a:prstDash val="dash"/>
              <a:round/>
            </a:ln>
            <a:effectLst/>
          </c:spPr>
          <c:marker>
            <c:symbol val="none"/>
          </c:marker>
          <c:cat>
            <c:numRef>
              <c:f>[0]!Year_NPV_biggest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[0]!NPV_2ep_change2</c:f>
              <c:numCache>
                <c:formatCode>#\ ##0_ ;\-#\ ##0\ </c:formatCode>
                <c:ptCount val="21"/>
                <c:pt idx="0">
                  <c:v>-595000</c:v>
                </c:pt>
                <c:pt idx="1">
                  <c:v>-558076.92307692312</c:v>
                </c:pt>
                <c:pt idx="2">
                  <c:v>-518685.28106508881</c:v>
                </c:pt>
                <c:pt idx="3">
                  <c:v>-476811.4189804279</c:v>
                </c:pt>
                <c:pt idx="4">
                  <c:v>-432440.7689079952</c:v>
                </c:pt>
                <c:pt idx="5">
                  <c:v>-385557.84495204932</c:v>
                </c:pt>
                <c:pt idx="6">
                  <c:v>-336146.23784851027</c:v>
                </c:pt>
                <c:pt idx="7">
                  <c:v>-284188.60923792684</c:v>
                </c:pt>
                <c:pt idx="8">
                  <c:v>-229666.68559696196</c:v>
                </c:pt>
                <c:pt idx="9">
                  <c:v>-172561.25182627738</c:v>
                </c:pt>
                <c:pt idx="10">
                  <c:v>-112852.14449257392</c:v>
                </c:pt>
                <c:pt idx="11">
                  <c:v>-50742.091503544638</c:v>
                </c:pt>
                <c:pt idx="12">
                  <c:v>12824.716342251137</c:v>
                </c:pt>
                <c:pt idx="13">
                  <c:v>77866.203916642626</c:v>
                </c:pt>
                <c:pt idx="14">
                  <c:v>144401.02886378835</c:v>
                </c:pt>
                <c:pt idx="15">
                  <c:v>212448.58076644182</c:v>
                </c:pt>
                <c:pt idx="16">
                  <c:v>282028.98087024206</c:v>
                </c:pt>
                <c:pt idx="17">
                  <c:v>353163.08235468081</c:v>
                </c:pt>
                <c:pt idx="18">
                  <c:v>425872.47114002972</c:v>
                </c:pt>
                <c:pt idx="19">
                  <c:v>500179.46722012066</c:v>
                </c:pt>
                <c:pt idx="20">
                  <c:v>576107.12651146401</c:v>
                </c:pt>
              </c:numCache>
            </c:numRef>
          </c:val>
          <c:smooth val="0"/>
          <c:extLst>
            <c:ext xmlns:c16="http://schemas.microsoft.com/office/drawing/2014/chart" uri="{C3380CC4-5D6E-409C-BE32-E72D297353CC}">
              <c16:uniqueId val="{00000005-A75A-478E-A03E-D685D2E101E3}"/>
            </c:ext>
          </c:extLst>
        </c:ser>
        <c:dLbls>
          <c:showLegendKey val="0"/>
          <c:showVal val="0"/>
          <c:showCatName val="0"/>
          <c:showSerName val="0"/>
          <c:showPercent val="0"/>
          <c:showBubbleSize val="0"/>
        </c:dLbls>
        <c:smooth val="0"/>
        <c:axId val="459243744"/>
        <c:axId val="459246880"/>
      </c:lineChart>
      <c:catAx>
        <c:axId val="45924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6880"/>
        <c:crosses val="autoZero"/>
        <c:auto val="1"/>
        <c:lblAlgn val="ctr"/>
        <c:lblOffset val="100"/>
        <c:noMultiLvlLbl val="0"/>
      </c:catAx>
      <c:valAx>
        <c:axId val="45924688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3744"/>
        <c:crosses val="autoZero"/>
        <c:crossBetween val="between"/>
      </c:valAx>
      <c:spPr>
        <a:noFill/>
        <a:ln>
          <a:noFill/>
        </a:ln>
        <a:effectLst/>
      </c:spPr>
    </c:plotArea>
    <c:legend>
      <c:legendPos val="b"/>
      <c:layout>
        <c:manualLayout>
          <c:xMode val="edge"/>
          <c:yMode val="edge"/>
          <c:x val="1.32495056955882E-2"/>
          <c:y val="0.67183651568107705"/>
          <c:w val="0.96559554150336402"/>
          <c:h val="0.30954440430672497"/>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Payback period 1</a:t>
            </a:r>
          </a:p>
        </c:rich>
      </c:tx>
      <c:layout>
        <c:manualLayout>
          <c:xMode val="edge"/>
          <c:yMode val="edge"/>
          <c:x val="0.358840110739582"/>
          <c:y val="2.42690979417047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8740157480315001"/>
          <c:y val="0.121695759415615"/>
          <c:w val="0.76623665192535895"/>
          <c:h val="0.463035870516185"/>
        </c:manualLayout>
      </c:layout>
      <c:lineChart>
        <c:grouping val="standard"/>
        <c:varyColors val="0"/>
        <c:ser>
          <c:idx val="1"/>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A908-42F3-94D1-79AA939DA01F}"/>
            </c:ext>
          </c:extLst>
        </c:ser>
        <c:ser>
          <c:idx val="0"/>
          <c:order val="1"/>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1-A908-42F3-94D1-79AA939DA01F}"/>
            </c:ext>
          </c:extLst>
        </c:ser>
        <c:ser>
          <c:idx val="4"/>
          <c:order val="2"/>
          <c:tx>
            <c:strRef>
              <c:f>'6. Pay back time'!$J$9:$J$10</c:f>
              <c:strCache>
                <c:ptCount val="2"/>
                <c:pt idx="0">
                  <c:v>Payback_1 Decrease energy/water costs (€)</c:v>
                </c:pt>
                <c:pt idx="1">
                  <c:v>Option 1. Energy/water prices change</c:v>
                </c:pt>
              </c:strCache>
            </c:strRef>
          </c:tx>
          <c:spPr>
            <a:ln w="28575" cap="rnd">
              <a:solidFill>
                <a:srgbClr val="7030A0"/>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2-A908-42F3-94D1-79AA939DA01F}"/>
            </c:ext>
          </c:extLst>
        </c:ser>
        <c:ser>
          <c:idx val="2"/>
          <c:order val="3"/>
          <c:tx>
            <c:strRef>
              <c:f>'6. Pay back time'!$L$9:$L$10</c:f>
              <c:strCache>
                <c:ptCount val="2"/>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[0]!Year_1Payback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3-A908-42F3-94D1-79AA939DA01F}"/>
            </c:ext>
          </c:extLst>
        </c:ser>
        <c:dLbls>
          <c:showLegendKey val="0"/>
          <c:showVal val="0"/>
          <c:showCatName val="0"/>
          <c:showSerName val="0"/>
          <c:showPercent val="0"/>
          <c:showBubbleSize val="0"/>
        </c:dLbls>
        <c:smooth val="0"/>
        <c:axId val="459245704"/>
        <c:axId val="459247272"/>
      </c:lineChart>
      <c:catAx>
        <c:axId val="459245704"/>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5.2962763216241798E-2"/>
              <c:y val="0.60356663750364503"/>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7272"/>
        <c:crosses val="autoZero"/>
        <c:auto val="1"/>
        <c:lblAlgn val="ctr"/>
        <c:lblOffset val="100"/>
        <c:noMultiLvlLbl val="1"/>
      </c:catAx>
      <c:valAx>
        <c:axId val="459247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5.7838660578386603E-2"/>
              <c:y val="8.4310804551656592E-3"/>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5704"/>
        <c:crosses val="autoZero"/>
        <c:crossBetween val="midCat"/>
      </c:valAx>
      <c:spPr>
        <a:noFill/>
        <a:ln>
          <a:noFill/>
        </a:ln>
        <a:effectLst/>
      </c:spPr>
    </c:plotArea>
    <c:legend>
      <c:legendPos val="b"/>
      <c:layout>
        <c:manualLayout>
          <c:xMode val="edge"/>
          <c:yMode val="edge"/>
          <c:x val="2.8451922961684698E-3"/>
          <c:y val="0.69189476315460596"/>
          <c:w val="0.99287671232876695"/>
          <c:h val="0.29138920134983098"/>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fi-FI"/>
              <a:t>Payback period 2</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6567790074076699"/>
          <c:y val="0.126556873161939"/>
          <c:w val="0.79180121846955898"/>
          <c:h val="0.486217571487774"/>
        </c:manualLayout>
      </c:layout>
      <c:lineChart>
        <c:grouping val="standard"/>
        <c:varyColors val="0"/>
        <c:ser>
          <c:idx val="0"/>
          <c:order val="0"/>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595000</c:v>
                </c:pt>
                <c:pt idx="1">
                  <c:v>595000</c:v>
                </c:pt>
                <c:pt idx="2">
                  <c:v>595000</c:v>
                </c:pt>
                <c:pt idx="3">
                  <c:v>595000</c:v>
                </c:pt>
                <c:pt idx="4">
                  <c:v>595000</c:v>
                </c:pt>
                <c:pt idx="5">
                  <c:v>595000</c:v>
                </c:pt>
                <c:pt idx="6">
                  <c:v>595000</c:v>
                </c:pt>
                <c:pt idx="7">
                  <c:v>595000</c:v>
                </c:pt>
                <c:pt idx="8">
                  <c:v>595000</c:v>
                </c:pt>
                <c:pt idx="9">
                  <c:v>595000</c:v>
                </c:pt>
                <c:pt idx="10">
                  <c:v>595000</c:v>
                </c:pt>
                <c:pt idx="11">
                  <c:v>595000</c:v>
                </c:pt>
                <c:pt idx="12">
                  <c:v>595000</c:v>
                </c:pt>
                <c:pt idx="13">
                  <c:v>595000</c:v>
                </c:pt>
                <c:pt idx="14">
                  <c:v>595000</c:v>
                </c:pt>
                <c:pt idx="15">
                  <c:v>595000</c:v>
                </c:pt>
                <c:pt idx="16">
                  <c:v>595000</c:v>
                </c:pt>
                <c:pt idx="17">
                  <c:v>595000</c:v>
                </c:pt>
                <c:pt idx="18">
                  <c:v>595000</c:v>
                </c:pt>
                <c:pt idx="19">
                  <c:v>595000</c:v>
                </c:pt>
                <c:pt idx="20">
                  <c:v>595000</c:v>
                </c:pt>
              </c:numCache>
            </c:numRef>
          </c:val>
          <c:smooth val="0"/>
          <c:extLst>
            <c:ext xmlns:c16="http://schemas.microsoft.com/office/drawing/2014/chart" uri="{C3380CC4-5D6E-409C-BE32-E72D297353CC}">
              <c16:uniqueId val="{00000000-BAA1-453A-A138-4AE0854A1518}"/>
            </c:ext>
          </c:extLst>
        </c:ser>
        <c:ser>
          <c:idx val="1"/>
          <c:order val="1"/>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57300</c:v>
                </c:pt>
                <c:pt idx="2">
                  <c:v>114600</c:v>
                </c:pt>
                <c:pt idx="3">
                  <c:v>171900</c:v>
                </c:pt>
                <c:pt idx="4">
                  <c:v>229200</c:v>
                </c:pt>
                <c:pt idx="5">
                  <c:v>286500</c:v>
                </c:pt>
                <c:pt idx="6">
                  <c:v>343800</c:v>
                </c:pt>
                <c:pt idx="7">
                  <c:v>401100</c:v>
                </c:pt>
                <c:pt idx="8">
                  <c:v>458400</c:v>
                </c:pt>
                <c:pt idx="9">
                  <c:v>515700</c:v>
                </c:pt>
                <c:pt idx="10">
                  <c:v>573000</c:v>
                </c:pt>
                <c:pt idx="11">
                  <c:v>630300</c:v>
                </c:pt>
                <c:pt idx="12">
                  <c:v>687600</c:v>
                </c:pt>
                <c:pt idx="13">
                  <c:v>744900</c:v>
                </c:pt>
                <c:pt idx="14">
                  <c:v>802200</c:v>
                </c:pt>
                <c:pt idx="15">
                  <c:v>859500</c:v>
                </c:pt>
                <c:pt idx="16">
                  <c:v>916800</c:v>
                </c:pt>
                <c:pt idx="17">
                  <c:v>974100</c:v>
                </c:pt>
                <c:pt idx="18">
                  <c:v>1031400</c:v>
                </c:pt>
                <c:pt idx="19">
                  <c:v>1088700</c:v>
                </c:pt>
                <c:pt idx="20">
                  <c:v>1146000</c:v>
                </c:pt>
              </c:numCache>
            </c:numRef>
          </c:val>
          <c:smooth val="0"/>
          <c:extLst>
            <c:ext xmlns:c16="http://schemas.microsoft.com/office/drawing/2014/chart" uri="{C3380CC4-5D6E-409C-BE32-E72D297353CC}">
              <c16:uniqueId val="{00000001-BAA1-453A-A138-4AE0854A1518}"/>
            </c:ext>
          </c:extLst>
        </c:ser>
        <c:ser>
          <c:idx val="2"/>
          <c:order val="2"/>
          <c:tx>
            <c:strRef>
              <c:f>'6. Pay back time'!$K$9:$K$10</c:f>
              <c:strCache>
                <c:ptCount val="2"/>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57300</c:v>
                </c:pt>
                <c:pt idx="2">
                  <c:v>116319</c:v>
                </c:pt>
                <c:pt idx="3">
                  <c:v>177108.57</c:v>
                </c:pt>
                <c:pt idx="4">
                  <c:v>239721.82709999999</c:v>
                </c:pt>
                <c:pt idx="5">
                  <c:v>304213.481913</c:v>
                </c:pt>
                <c:pt idx="6">
                  <c:v>370639.88637039001</c:v>
                </c:pt>
                <c:pt idx="7">
                  <c:v>439059.08296150173</c:v>
                </c:pt>
                <c:pt idx="8">
                  <c:v>509530.85545034683</c:v>
                </c:pt>
                <c:pt idx="9">
                  <c:v>582116.78111385729</c:v>
                </c:pt>
                <c:pt idx="10">
                  <c:v>656880.28454727307</c:v>
                </c:pt>
                <c:pt idx="11">
                  <c:v>733886.69308369129</c:v>
                </c:pt>
                <c:pt idx="12">
                  <c:v>813203.29387620208</c:v>
                </c:pt>
                <c:pt idx="13">
                  <c:v>894899.39269248815</c:v>
                </c:pt>
                <c:pt idx="14">
                  <c:v>979046.37447326281</c:v>
                </c:pt>
                <c:pt idx="15">
                  <c:v>1065717.7657074607</c:v>
                </c:pt>
                <c:pt idx="16">
                  <c:v>1154989.2986786845</c:v>
                </c:pt>
                <c:pt idx="17">
                  <c:v>1246938.9776390451</c:v>
                </c:pt>
                <c:pt idx="18">
                  <c:v>1341647.1469682164</c:v>
                </c:pt>
                <c:pt idx="19">
                  <c:v>1439196.5613772629</c:v>
                </c:pt>
                <c:pt idx="20">
                  <c:v>1539672.4582185808</c:v>
                </c:pt>
              </c:numCache>
            </c:numRef>
          </c:val>
          <c:smooth val="0"/>
          <c:extLst>
            <c:ext xmlns:c16="http://schemas.microsoft.com/office/drawing/2014/chart" uri="{C3380CC4-5D6E-409C-BE32-E72D297353CC}">
              <c16:uniqueId val="{00000002-BAA1-453A-A138-4AE0854A1518}"/>
            </c:ext>
          </c:extLst>
        </c:ser>
        <c:ser>
          <c:idx val="3"/>
          <c:order val="3"/>
          <c:tx>
            <c:strRef>
              <c:f>'6. Pay back time'!$M$9:$M$10</c:f>
              <c:strCache>
                <c:ptCount val="2"/>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[0]!Year_2payback</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57300</c:v>
                </c:pt>
                <c:pt idx="2">
                  <c:v>118038</c:v>
                </c:pt>
                <c:pt idx="3">
                  <c:v>182420.28</c:v>
                </c:pt>
                <c:pt idx="4">
                  <c:v>250665.49680000002</c:v>
                </c:pt>
                <c:pt idx="5">
                  <c:v>323005.42660800007</c:v>
                </c:pt>
                <c:pt idx="6">
                  <c:v>399685.75220448012</c:v>
                </c:pt>
                <c:pt idx="7">
                  <c:v>480966.89733674895</c:v>
                </c:pt>
                <c:pt idx="8">
                  <c:v>567124.91117695393</c:v>
                </c:pt>
                <c:pt idx="9">
                  <c:v>658452.40584757121</c:v>
                </c:pt>
                <c:pt idx="10">
                  <c:v>755259.55019842554</c:v>
                </c:pt>
                <c:pt idx="11">
                  <c:v>857875.12321033108</c:v>
                </c:pt>
                <c:pt idx="12">
                  <c:v>966647.63060295105</c:v>
                </c:pt>
                <c:pt idx="13">
                  <c:v>1081946.4884391283</c:v>
                </c:pt>
                <c:pt idx="14">
                  <c:v>1204163.277745476</c:v>
                </c:pt>
                <c:pt idx="15">
                  <c:v>1333713.0744102045</c:v>
                </c:pt>
                <c:pt idx="16">
                  <c:v>1471035.8588748169</c:v>
                </c:pt>
                <c:pt idx="17">
                  <c:v>1616598.010407306</c:v>
                </c:pt>
                <c:pt idx="18">
                  <c:v>1770893.8910317444</c:v>
                </c:pt>
                <c:pt idx="19">
                  <c:v>1934447.5244936491</c:v>
                </c:pt>
                <c:pt idx="20">
                  <c:v>2107814.3759632683</c:v>
                </c:pt>
              </c:numCache>
            </c:numRef>
          </c:val>
          <c:smooth val="0"/>
          <c:extLst>
            <c:ext xmlns:c16="http://schemas.microsoft.com/office/drawing/2014/chart" uri="{C3380CC4-5D6E-409C-BE32-E72D297353CC}">
              <c16:uniqueId val="{00000003-BAA1-453A-A138-4AE0854A1518}"/>
            </c:ext>
          </c:extLst>
        </c:ser>
        <c:dLbls>
          <c:showLegendKey val="0"/>
          <c:showVal val="0"/>
          <c:showCatName val="0"/>
          <c:showSerName val="0"/>
          <c:showPercent val="0"/>
          <c:showBubbleSize val="0"/>
        </c:dLbls>
        <c:smooth val="0"/>
        <c:axId val="459244136"/>
        <c:axId val="459246096"/>
      </c:lineChart>
      <c:catAx>
        <c:axId val="459244136"/>
        <c:scaling>
          <c:orientation val="minMax"/>
        </c:scaling>
        <c:delete val="0"/>
        <c:axPos val="b"/>
        <c:title>
          <c:tx>
            <c:rich>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Year</a:t>
                </a:r>
              </a:p>
            </c:rich>
          </c:tx>
          <c:layout>
            <c:manualLayout>
              <c:xMode val="edge"/>
              <c:yMode val="edge"/>
              <c:x val="4.5200318069580699E-2"/>
              <c:y val="0.64105124114387702"/>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6096"/>
        <c:crosses val="autoZero"/>
        <c:auto val="1"/>
        <c:lblAlgn val="ctr"/>
        <c:lblOffset val="100"/>
        <c:noMultiLvlLbl val="0"/>
      </c:catAx>
      <c:valAx>
        <c:axId val="459246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r>
                  <a:rPr lang="en-US" b="1"/>
                  <a:t>€</a:t>
                </a:r>
              </a:p>
            </c:rich>
          </c:tx>
          <c:layout>
            <c:manualLayout>
              <c:xMode val="edge"/>
              <c:yMode val="edge"/>
              <c:x val="0.13667425968109301"/>
              <c:y val="3.2235923339771197E-2"/>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fi-FI"/>
            </a:p>
          </c:txPr>
        </c:title>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4136"/>
        <c:crosses val="autoZero"/>
        <c:crossBetween val="between"/>
      </c:valAx>
      <c:spPr>
        <a:noFill/>
        <a:ln>
          <a:noFill/>
        </a:ln>
        <a:effectLst/>
      </c:spPr>
    </c:plotArea>
    <c:legend>
      <c:legendPos val="b"/>
      <c:layout>
        <c:manualLayout>
          <c:xMode val="edge"/>
          <c:yMode val="edge"/>
          <c:x val="4.1064456920105897E-3"/>
          <c:y val="0.71239077416207897"/>
          <c:w val="0.990615034168565"/>
          <c:h val="0.28758375791261398"/>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Payback period,</a:t>
            </a:r>
            <a:r>
              <a:rPr lang="en-US" baseline="0"/>
              <a:t> </a:t>
            </a:r>
            <a:r>
              <a:rPr lang="en-US"/>
              <a:t>Both measures</a:t>
            </a:r>
          </a:p>
        </c:rich>
      </c:tx>
      <c:layout>
        <c:manualLayout>
          <c:xMode val="edge"/>
          <c:yMode val="edge"/>
          <c:x val="0.36099999999999999"/>
          <c:y val="1.38808534575348E-2"/>
        </c:manualLayout>
      </c:layout>
      <c:overlay val="0"/>
      <c:spPr>
        <a:noFill/>
        <a:ln>
          <a:noFill/>
        </a:ln>
        <a:effectLst/>
      </c:spPr>
      <c:txPr>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0.17732770831112299"/>
          <c:y val="5.7141207262637397E-2"/>
          <c:w val="0.81497440944881905"/>
          <c:h val="0.45497102144136498"/>
        </c:manualLayout>
      </c:layout>
      <c:lineChart>
        <c:grouping val="standard"/>
        <c:varyColors val="0"/>
        <c:ser>
          <c:idx val="0"/>
          <c:order val="0"/>
          <c:tx>
            <c:strRef>
              <c:f>'6. Pay back time'!$F$9:$F$11</c:f>
              <c:strCache>
                <c:ptCount val="3"/>
                <c:pt idx="0">
                  <c:v>Payback_1_invest</c:v>
                </c:pt>
                <c:pt idx="1">
                  <c:v>Total sum of the investment</c:v>
                </c:pt>
                <c:pt idx="2">
                  <c:v>(€)</c:v>
                </c:pt>
              </c:strCache>
            </c:strRef>
          </c:tx>
          <c:spPr>
            <a:ln w="28575" cap="rnd">
              <a:solidFill>
                <a:sysClr val="windowText" lastClr="00000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[0]!Payback_1_invest</c:f>
              <c:numCache>
                <c:formatCode>#\ ##0_ ;\-#\ ##0\ </c:formatCode>
                <c:ptCount val="21"/>
                <c:pt idx="0">
                  <c:v>156400</c:v>
                </c:pt>
                <c:pt idx="1">
                  <c:v>156400</c:v>
                </c:pt>
                <c:pt idx="2">
                  <c:v>156400</c:v>
                </c:pt>
                <c:pt idx="3">
                  <c:v>156400</c:v>
                </c:pt>
                <c:pt idx="4">
                  <c:v>156400</c:v>
                </c:pt>
                <c:pt idx="5">
                  <c:v>156400</c:v>
                </c:pt>
                <c:pt idx="6">
                  <c:v>156400</c:v>
                </c:pt>
                <c:pt idx="7">
                  <c:v>156400</c:v>
                </c:pt>
                <c:pt idx="8">
                  <c:v>156400</c:v>
                </c:pt>
                <c:pt idx="9">
                  <c:v>156400</c:v>
                </c:pt>
                <c:pt idx="10">
                  <c:v>156400</c:v>
                </c:pt>
                <c:pt idx="11">
                  <c:v>156400</c:v>
                </c:pt>
                <c:pt idx="12">
                  <c:v>156400</c:v>
                </c:pt>
                <c:pt idx="13">
                  <c:v>156400</c:v>
                </c:pt>
                <c:pt idx="14">
                  <c:v>156400</c:v>
                </c:pt>
                <c:pt idx="15">
                  <c:v>156400</c:v>
                </c:pt>
                <c:pt idx="16">
                  <c:v>156400</c:v>
                </c:pt>
                <c:pt idx="17">
                  <c:v>156400</c:v>
                </c:pt>
                <c:pt idx="18">
                  <c:v>156400</c:v>
                </c:pt>
                <c:pt idx="19">
                  <c:v>156400</c:v>
                </c:pt>
                <c:pt idx="20">
                  <c:v>156400</c:v>
                </c:pt>
              </c:numCache>
            </c:numRef>
          </c:val>
          <c:smooth val="0"/>
          <c:extLst>
            <c:ext xmlns:c16="http://schemas.microsoft.com/office/drawing/2014/chart" uri="{C3380CC4-5D6E-409C-BE32-E72D297353CC}">
              <c16:uniqueId val="{00000000-845D-4EF5-B6E1-68C83D0657D4}"/>
            </c:ext>
          </c:extLst>
        </c:ser>
        <c:ser>
          <c:idx val="1"/>
          <c:order val="1"/>
          <c:tx>
            <c:strRef>
              <c:f>'6. Pay back time'!$G$9:$G$11</c:f>
              <c:strCache>
                <c:ptCount val="3"/>
                <c:pt idx="0">
                  <c:v>Payback_2_invest</c:v>
                </c:pt>
                <c:pt idx="1">
                  <c:v>Total sum of the investment</c:v>
                </c:pt>
                <c:pt idx="2">
                  <c:v>(€)</c:v>
                </c:pt>
              </c:strCache>
            </c:strRef>
          </c:tx>
          <c:spPr>
            <a:ln w="28575" cap="rnd">
              <a:solidFill>
                <a:schemeClr val="tx1"/>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[0]!Payback_2_invest</c:f>
              <c:numCache>
                <c:formatCode>#\ ##0_ ;\-#\ ##0\ </c:formatCode>
                <c:ptCount val="21"/>
                <c:pt idx="0">
                  <c:v>595000</c:v>
                </c:pt>
                <c:pt idx="1">
                  <c:v>595000</c:v>
                </c:pt>
                <c:pt idx="2">
                  <c:v>595000</c:v>
                </c:pt>
                <c:pt idx="3">
                  <c:v>595000</c:v>
                </c:pt>
                <c:pt idx="4">
                  <c:v>595000</c:v>
                </c:pt>
                <c:pt idx="5">
                  <c:v>595000</c:v>
                </c:pt>
                <c:pt idx="6">
                  <c:v>595000</c:v>
                </c:pt>
                <c:pt idx="7">
                  <c:v>595000</c:v>
                </c:pt>
                <c:pt idx="8">
                  <c:v>595000</c:v>
                </c:pt>
                <c:pt idx="9">
                  <c:v>595000</c:v>
                </c:pt>
                <c:pt idx="10">
                  <c:v>595000</c:v>
                </c:pt>
                <c:pt idx="11">
                  <c:v>595000</c:v>
                </c:pt>
                <c:pt idx="12">
                  <c:v>595000</c:v>
                </c:pt>
                <c:pt idx="13">
                  <c:v>595000</c:v>
                </c:pt>
                <c:pt idx="14">
                  <c:v>595000</c:v>
                </c:pt>
                <c:pt idx="15">
                  <c:v>595000</c:v>
                </c:pt>
                <c:pt idx="16">
                  <c:v>595000</c:v>
                </c:pt>
                <c:pt idx="17">
                  <c:v>595000</c:v>
                </c:pt>
                <c:pt idx="18">
                  <c:v>595000</c:v>
                </c:pt>
                <c:pt idx="19">
                  <c:v>595000</c:v>
                </c:pt>
                <c:pt idx="20">
                  <c:v>595000</c:v>
                </c:pt>
              </c:numCache>
            </c:numRef>
          </c:val>
          <c:smooth val="0"/>
          <c:extLst>
            <c:ext xmlns:c16="http://schemas.microsoft.com/office/drawing/2014/chart" uri="{C3380CC4-5D6E-409C-BE32-E72D297353CC}">
              <c16:uniqueId val="{00000001-845D-4EF5-B6E1-68C83D0657D4}"/>
            </c:ext>
          </c:extLst>
        </c:ser>
        <c:ser>
          <c:idx val="2"/>
          <c:order val="2"/>
          <c:tx>
            <c:strRef>
              <c:f>'6. Pay back time'!$H$9:$H$11</c:f>
              <c:strCache>
                <c:ptCount val="3"/>
                <c:pt idx="0">
                  <c:v>Payback_1</c:v>
                </c:pt>
                <c:pt idx="1">
                  <c:v>Decrease energy/water costs (€)</c:v>
                </c:pt>
              </c:strCache>
            </c:strRef>
          </c:tx>
          <c:spPr>
            <a:ln w="28575" cap="rnd">
              <a:solidFill>
                <a:srgbClr val="92D05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c:f>
              <c:numCache>
                <c:formatCode>#\ ##0_ ;\-#\ ##0\ </c:formatCode>
                <c:ptCount val="21"/>
                <c:pt idx="0">
                  <c:v>0</c:v>
                </c:pt>
                <c:pt idx="1">
                  <c:v>11460</c:v>
                </c:pt>
                <c:pt idx="2">
                  <c:v>22920</c:v>
                </c:pt>
                <c:pt idx="3">
                  <c:v>34380</c:v>
                </c:pt>
                <c:pt idx="4">
                  <c:v>45840</c:v>
                </c:pt>
                <c:pt idx="5">
                  <c:v>57300</c:v>
                </c:pt>
                <c:pt idx="6">
                  <c:v>68760</c:v>
                </c:pt>
                <c:pt idx="7">
                  <c:v>80220</c:v>
                </c:pt>
                <c:pt idx="8">
                  <c:v>91680</c:v>
                </c:pt>
                <c:pt idx="9">
                  <c:v>103140</c:v>
                </c:pt>
                <c:pt idx="10">
                  <c:v>114600</c:v>
                </c:pt>
                <c:pt idx="11">
                  <c:v>126060</c:v>
                </c:pt>
                <c:pt idx="12">
                  <c:v>137520</c:v>
                </c:pt>
                <c:pt idx="13">
                  <c:v>148980</c:v>
                </c:pt>
                <c:pt idx="14">
                  <c:v>160440</c:v>
                </c:pt>
                <c:pt idx="15">
                  <c:v>171900</c:v>
                </c:pt>
                <c:pt idx="16">
                  <c:v>183360</c:v>
                </c:pt>
                <c:pt idx="17">
                  <c:v>194820</c:v>
                </c:pt>
                <c:pt idx="18">
                  <c:v>206280</c:v>
                </c:pt>
                <c:pt idx="19">
                  <c:v>217740</c:v>
                </c:pt>
                <c:pt idx="20">
                  <c:v>229200</c:v>
                </c:pt>
              </c:numCache>
            </c:numRef>
          </c:val>
          <c:smooth val="0"/>
          <c:extLst>
            <c:ext xmlns:c16="http://schemas.microsoft.com/office/drawing/2014/chart" uri="{C3380CC4-5D6E-409C-BE32-E72D297353CC}">
              <c16:uniqueId val="{00000002-845D-4EF5-B6E1-68C83D0657D4}"/>
            </c:ext>
          </c:extLst>
        </c:ser>
        <c:ser>
          <c:idx val="3"/>
          <c:order val="3"/>
          <c:tx>
            <c:strRef>
              <c:f>'6. Pay back time'!$I$9:$I$11</c:f>
              <c:strCache>
                <c:ptCount val="3"/>
                <c:pt idx="0">
                  <c:v>Payback_2</c:v>
                </c:pt>
                <c:pt idx="1">
                  <c:v>Decrease energy/water costs (€)</c:v>
                </c:pt>
              </c:strCache>
            </c:strRef>
          </c:tx>
          <c:spPr>
            <a:ln w="28575" cap="rnd">
              <a:solidFill>
                <a:srgbClr val="92D05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c:f>
              <c:numCache>
                <c:formatCode>#\ ##0_ ;\-#\ ##0\ </c:formatCode>
                <c:ptCount val="21"/>
                <c:pt idx="0">
                  <c:v>0</c:v>
                </c:pt>
                <c:pt idx="1">
                  <c:v>57300</c:v>
                </c:pt>
                <c:pt idx="2">
                  <c:v>114600</c:v>
                </c:pt>
                <c:pt idx="3">
                  <c:v>171900</c:v>
                </c:pt>
                <c:pt idx="4">
                  <c:v>229200</c:v>
                </c:pt>
                <c:pt idx="5">
                  <c:v>286500</c:v>
                </c:pt>
                <c:pt idx="6">
                  <c:v>343800</c:v>
                </c:pt>
                <c:pt idx="7">
                  <c:v>401100</c:v>
                </c:pt>
                <c:pt idx="8">
                  <c:v>458400</c:v>
                </c:pt>
                <c:pt idx="9">
                  <c:v>515700</c:v>
                </c:pt>
                <c:pt idx="10">
                  <c:v>573000</c:v>
                </c:pt>
                <c:pt idx="11">
                  <c:v>630300</c:v>
                </c:pt>
                <c:pt idx="12">
                  <c:v>687600</c:v>
                </c:pt>
                <c:pt idx="13">
                  <c:v>744900</c:v>
                </c:pt>
                <c:pt idx="14">
                  <c:v>802200</c:v>
                </c:pt>
                <c:pt idx="15">
                  <c:v>859500</c:v>
                </c:pt>
                <c:pt idx="16">
                  <c:v>916800</c:v>
                </c:pt>
                <c:pt idx="17">
                  <c:v>974100</c:v>
                </c:pt>
                <c:pt idx="18">
                  <c:v>1031400</c:v>
                </c:pt>
                <c:pt idx="19">
                  <c:v>1088700</c:v>
                </c:pt>
                <c:pt idx="20">
                  <c:v>1146000</c:v>
                </c:pt>
              </c:numCache>
            </c:numRef>
          </c:val>
          <c:smooth val="0"/>
          <c:extLst>
            <c:ext xmlns:c16="http://schemas.microsoft.com/office/drawing/2014/chart" uri="{C3380CC4-5D6E-409C-BE32-E72D297353CC}">
              <c16:uniqueId val="{00000003-845D-4EF5-B6E1-68C83D0657D4}"/>
            </c:ext>
          </c:extLst>
        </c:ser>
        <c:ser>
          <c:idx val="4"/>
          <c:order val="4"/>
          <c:tx>
            <c:strRef>
              <c:f>'6. Pay back time'!$J$9:$J$11</c:f>
              <c:strCache>
                <c:ptCount val="3"/>
                <c:pt idx="0">
                  <c:v>Payback_1 Decrease energy/water costs (€)</c:v>
                </c:pt>
                <c:pt idx="1">
                  <c:v>Option 1. Energy/water prices change</c:v>
                </c:pt>
              </c:strCache>
            </c:strRef>
          </c:tx>
          <c:spPr>
            <a:ln w="28575" cap="rnd">
              <a:solidFill>
                <a:srgbClr val="7030A0"/>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c:f>
              <c:numCache>
                <c:formatCode>#\ ##0_ ;\-#\ ##0\ </c:formatCode>
                <c:ptCount val="21"/>
                <c:pt idx="0">
                  <c:v>0</c:v>
                </c:pt>
                <c:pt idx="1">
                  <c:v>11460</c:v>
                </c:pt>
                <c:pt idx="2">
                  <c:v>23263.8</c:v>
                </c:pt>
                <c:pt idx="3">
                  <c:v>35421.714</c:v>
                </c:pt>
                <c:pt idx="4">
                  <c:v>47944.365420000002</c:v>
                </c:pt>
                <c:pt idx="5">
                  <c:v>60842.696382600006</c:v>
                </c:pt>
                <c:pt idx="6">
                  <c:v>74127.977274078003</c:v>
                </c:pt>
                <c:pt idx="7">
                  <c:v>87811.81659230034</c:v>
                </c:pt>
                <c:pt idx="8">
                  <c:v>101906.17109006936</c:v>
                </c:pt>
                <c:pt idx="9">
                  <c:v>116423.35622277144</c:v>
                </c:pt>
                <c:pt idx="10">
                  <c:v>131376.05690945458</c:v>
                </c:pt>
                <c:pt idx="11">
                  <c:v>146777.33861673821</c:v>
                </c:pt>
                <c:pt idx="12">
                  <c:v>162640.65877524036</c:v>
                </c:pt>
                <c:pt idx="13">
                  <c:v>178979.87853849758</c:v>
                </c:pt>
                <c:pt idx="14">
                  <c:v>195809.27489465251</c:v>
                </c:pt>
                <c:pt idx="15">
                  <c:v>213143.5531414921</c:v>
                </c:pt>
                <c:pt idx="16">
                  <c:v>230997.85973573686</c:v>
                </c:pt>
                <c:pt idx="17">
                  <c:v>249387.79552780898</c:v>
                </c:pt>
                <c:pt idx="18">
                  <c:v>268329.42939364328</c:v>
                </c:pt>
                <c:pt idx="19">
                  <c:v>287839.3122754526</c:v>
                </c:pt>
                <c:pt idx="20">
                  <c:v>307934.49164371617</c:v>
                </c:pt>
              </c:numCache>
            </c:numRef>
          </c:val>
          <c:smooth val="0"/>
          <c:extLst>
            <c:ext xmlns:c16="http://schemas.microsoft.com/office/drawing/2014/chart" uri="{C3380CC4-5D6E-409C-BE32-E72D297353CC}">
              <c16:uniqueId val="{00000004-845D-4EF5-B6E1-68C83D0657D4}"/>
            </c:ext>
          </c:extLst>
        </c:ser>
        <c:ser>
          <c:idx val="5"/>
          <c:order val="5"/>
          <c:tx>
            <c:strRef>
              <c:f>'6. Pay back time'!$K$9:$K$11</c:f>
              <c:strCache>
                <c:ptCount val="3"/>
                <c:pt idx="0">
                  <c:v>Payback_2 Decrease energy/water costs (€)</c:v>
                </c:pt>
                <c:pt idx="1">
                  <c:v>Option 1. Energy/water prices change</c:v>
                </c:pt>
              </c:strCache>
            </c:strRef>
          </c:tx>
          <c:spPr>
            <a:ln w="28575" cap="rnd">
              <a:solidFill>
                <a:srgbClr val="7030A0"/>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c:f>
              <c:numCache>
                <c:formatCode>#\ ##0_ ;\-#\ ##0\ </c:formatCode>
                <c:ptCount val="21"/>
                <c:pt idx="0">
                  <c:v>0</c:v>
                </c:pt>
                <c:pt idx="1">
                  <c:v>57300</c:v>
                </c:pt>
                <c:pt idx="2">
                  <c:v>116319</c:v>
                </c:pt>
                <c:pt idx="3">
                  <c:v>177108.57</c:v>
                </c:pt>
                <c:pt idx="4">
                  <c:v>239721.82709999999</c:v>
                </c:pt>
                <c:pt idx="5">
                  <c:v>304213.481913</c:v>
                </c:pt>
                <c:pt idx="6">
                  <c:v>370639.88637039001</c:v>
                </c:pt>
                <c:pt idx="7">
                  <c:v>439059.08296150173</c:v>
                </c:pt>
                <c:pt idx="8">
                  <c:v>509530.85545034683</c:v>
                </c:pt>
                <c:pt idx="9">
                  <c:v>582116.78111385729</c:v>
                </c:pt>
                <c:pt idx="10">
                  <c:v>656880.28454727307</c:v>
                </c:pt>
                <c:pt idx="11">
                  <c:v>733886.69308369129</c:v>
                </c:pt>
                <c:pt idx="12">
                  <c:v>813203.29387620208</c:v>
                </c:pt>
                <c:pt idx="13">
                  <c:v>894899.39269248815</c:v>
                </c:pt>
                <c:pt idx="14">
                  <c:v>979046.37447326281</c:v>
                </c:pt>
                <c:pt idx="15">
                  <c:v>1065717.7657074607</c:v>
                </c:pt>
                <c:pt idx="16">
                  <c:v>1154989.2986786845</c:v>
                </c:pt>
                <c:pt idx="17">
                  <c:v>1246938.9776390451</c:v>
                </c:pt>
                <c:pt idx="18">
                  <c:v>1341647.1469682164</c:v>
                </c:pt>
                <c:pt idx="19">
                  <c:v>1439196.5613772629</c:v>
                </c:pt>
                <c:pt idx="20">
                  <c:v>1539672.4582185808</c:v>
                </c:pt>
              </c:numCache>
            </c:numRef>
          </c:val>
          <c:smooth val="0"/>
          <c:extLst>
            <c:ext xmlns:c16="http://schemas.microsoft.com/office/drawing/2014/chart" uri="{C3380CC4-5D6E-409C-BE32-E72D297353CC}">
              <c16:uniqueId val="{00000005-845D-4EF5-B6E1-68C83D0657D4}"/>
            </c:ext>
          </c:extLst>
        </c:ser>
        <c:ser>
          <c:idx val="6"/>
          <c:order val="6"/>
          <c:tx>
            <c:strRef>
              <c:f>'6. Pay back time'!$L$9:$L$11</c:f>
              <c:strCache>
                <c:ptCount val="3"/>
                <c:pt idx="0">
                  <c:v>Payback_1 Decrease energy/water costs (€)</c:v>
                </c:pt>
                <c:pt idx="1">
                  <c:v>Option 2. Energy/water prices change</c:v>
                </c:pt>
              </c:strCache>
            </c:strRef>
          </c:tx>
          <c:spPr>
            <a:ln w="28575" cap="rnd">
              <a:solidFill>
                <a:schemeClr val="bg2">
                  <a:lumMod val="50000"/>
                </a:schemeClr>
              </a:solidFill>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[0]!Payback_1ep_change2</c:f>
              <c:numCache>
                <c:formatCode>#\ ##0_ ;\-#\ ##0\ </c:formatCode>
                <c:ptCount val="21"/>
                <c:pt idx="0">
                  <c:v>0</c:v>
                </c:pt>
                <c:pt idx="1">
                  <c:v>11460</c:v>
                </c:pt>
                <c:pt idx="2">
                  <c:v>23607.599999999999</c:v>
                </c:pt>
                <c:pt idx="3">
                  <c:v>36484.055999999997</c:v>
                </c:pt>
                <c:pt idx="4">
                  <c:v>50133.09936</c:v>
                </c:pt>
                <c:pt idx="5">
                  <c:v>64601.085321600003</c:v>
                </c:pt>
                <c:pt idx="6">
                  <c:v>79937.150440896003</c:v>
                </c:pt>
                <c:pt idx="7">
                  <c:v>96193.379467349761</c:v>
                </c:pt>
                <c:pt idx="8">
                  <c:v>113424.98223539075</c:v>
                </c:pt>
                <c:pt idx="9">
                  <c:v>131690.48116951418</c:v>
                </c:pt>
                <c:pt idx="10">
                  <c:v>151051.91003968503</c:v>
                </c:pt>
                <c:pt idx="11">
                  <c:v>171575.02464206613</c:v>
                </c:pt>
                <c:pt idx="12">
                  <c:v>193329.5261205901</c:v>
                </c:pt>
                <c:pt idx="13">
                  <c:v>216389.29768782551</c:v>
                </c:pt>
                <c:pt idx="14">
                  <c:v>240832.65554909504</c:v>
                </c:pt>
                <c:pt idx="15">
                  <c:v>266742.61488204077</c:v>
                </c:pt>
                <c:pt idx="16">
                  <c:v>294207.17177496321</c:v>
                </c:pt>
                <c:pt idx="17">
                  <c:v>323319.60208146099</c:v>
                </c:pt>
                <c:pt idx="18">
                  <c:v>354178.77820634865</c:v>
                </c:pt>
                <c:pt idx="19">
                  <c:v>386889.50489872956</c:v>
                </c:pt>
                <c:pt idx="20">
                  <c:v>421562.87519265333</c:v>
                </c:pt>
              </c:numCache>
            </c:numRef>
          </c:val>
          <c:smooth val="0"/>
          <c:extLst>
            <c:ext xmlns:c16="http://schemas.microsoft.com/office/drawing/2014/chart" uri="{C3380CC4-5D6E-409C-BE32-E72D297353CC}">
              <c16:uniqueId val="{00000006-845D-4EF5-B6E1-68C83D0657D4}"/>
            </c:ext>
          </c:extLst>
        </c:ser>
        <c:ser>
          <c:idx val="7"/>
          <c:order val="7"/>
          <c:tx>
            <c:strRef>
              <c:f>'6. Pay back time'!$M$9:$M$11</c:f>
              <c:strCache>
                <c:ptCount val="3"/>
                <c:pt idx="0">
                  <c:v>Payback_2 Decrease energy/water costs (€)</c:v>
                </c:pt>
                <c:pt idx="1">
                  <c:v>Option 2. Energy/water prices change</c:v>
                </c:pt>
              </c:strCache>
            </c:strRef>
          </c:tx>
          <c:spPr>
            <a:ln w="28575" cap="rnd">
              <a:solidFill>
                <a:schemeClr val="bg2">
                  <a:lumMod val="50000"/>
                </a:schemeClr>
              </a:solidFill>
              <a:prstDash val="dash"/>
              <a:round/>
            </a:ln>
            <a:effectLst/>
          </c:spPr>
          <c:marker>
            <c:symbol val="none"/>
          </c:marker>
          <c:cat>
            <c:numRef>
              <c:f>[0]!Year_paybacktime_biggest</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[0]!Payback_2ep_change2</c:f>
              <c:numCache>
                <c:formatCode>#\ ##0_ ;\-#\ ##0\ </c:formatCode>
                <c:ptCount val="21"/>
                <c:pt idx="0">
                  <c:v>0</c:v>
                </c:pt>
                <c:pt idx="1">
                  <c:v>57300</c:v>
                </c:pt>
                <c:pt idx="2">
                  <c:v>118038</c:v>
                </c:pt>
                <c:pt idx="3">
                  <c:v>182420.28</c:v>
                </c:pt>
                <c:pt idx="4">
                  <c:v>250665.49680000002</c:v>
                </c:pt>
                <c:pt idx="5">
                  <c:v>323005.42660800007</c:v>
                </c:pt>
                <c:pt idx="6">
                  <c:v>399685.75220448012</c:v>
                </c:pt>
                <c:pt idx="7">
                  <c:v>480966.89733674895</c:v>
                </c:pt>
                <c:pt idx="8">
                  <c:v>567124.91117695393</c:v>
                </c:pt>
                <c:pt idx="9">
                  <c:v>658452.40584757121</c:v>
                </c:pt>
                <c:pt idx="10">
                  <c:v>755259.55019842554</c:v>
                </c:pt>
                <c:pt idx="11">
                  <c:v>857875.12321033108</c:v>
                </c:pt>
                <c:pt idx="12">
                  <c:v>966647.63060295105</c:v>
                </c:pt>
                <c:pt idx="13">
                  <c:v>1081946.4884391283</c:v>
                </c:pt>
                <c:pt idx="14">
                  <c:v>1204163.277745476</c:v>
                </c:pt>
                <c:pt idx="15">
                  <c:v>1333713.0744102045</c:v>
                </c:pt>
                <c:pt idx="16">
                  <c:v>1471035.8588748169</c:v>
                </c:pt>
                <c:pt idx="17">
                  <c:v>1616598.010407306</c:v>
                </c:pt>
                <c:pt idx="18">
                  <c:v>1770893.8910317444</c:v>
                </c:pt>
                <c:pt idx="19">
                  <c:v>1934447.5244936491</c:v>
                </c:pt>
                <c:pt idx="20">
                  <c:v>2107814.3759632683</c:v>
                </c:pt>
              </c:numCache>
            </c:numRef>
          </c:val>
          <c:smooth val="0"/>
          <c:extLst>
            <c:ext xmlns:c16="http://schemas.microsoft.com/office/drawing/2014/chart" uri="{C3380CC4-5D6E-409C-BE32-E72D297353CC}">
              <c16:uniqueId val="{00000007-845D-4EF5-B6E1-68C83D0657D4}"/>
            </c:ext>
          </c:extLst>
        </c:ser>
        <c:dLbls>
          <c:showLegendKey val="0"/>
          <c:showVal val="0"/>
          <c:showCatName val="0"/>
          <c:showSerName val="0"/>
          <c:showPercent val="0"/>
          <c:showBubbleSize val="0"/>
        </c:dLbls>
        <c:smooth val="0"/>
        <c:axId val="459248840"/>
        <c:axId val="460054720"/>
      </c:lineChart>
      <c:catAx>
        <c:axId val="459248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60054720"/>
        <c:crosses val="autoZero"/>
        <c:auto val="1"/>
        <c:lblAlgn val="ctr"/>
        <c:lblOffset val="100"/>
        <c:noMultiLvlLbl val="0"/>
      </c:catAx>
      <c:valAx>
        <c:axId val="460054720"/>
        <c:scaling>
          <c:orientation val="minMax"/>
        </c:scaling>
        <c:delete val="0"/>
        <c:axPos val="l"/>
        <c:majorGridlines>
          <c:spPr>
            <a:ln w="9525" cap="flat" cmpd="sng" algn="ctr">
              <a:solidFill>
                <a:schemeClr val="tx1">
                  <a:lumMod val="15000"/>
                  <a:lumOff val="85000"/>
                </a:schemeClr>
              </a:solidFill>
              <a:round/>
            </a:ln>
            <a:effectLst/>
          </c:spPr>
        </c:majorGridlines>
        <c:numFmt formatCode="#\ ##0_ ;\-#\ ##0\ "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crossAx val="459248840"/>
        <c:crosses val="autoZero"/>
        <c:crossBetween val="between"/>
      </c:valAx>
      <c:spPr>
        <a:noFill/>
        <a:ln>
          <a:noFill/>
        </a:ln>
        <a:effectLst/>
      </c:spPr>
    </c:plotArea>
    <c:legend>
      <c:legendPos val="b"/>
      <c:layout>
        <c:manualLayout>
          <c:xMode val="edge"/>
          <c:yMode val="edge"/>
          <c:x val="5.9164973329946698E-2"/>
          <c:y val="0.56980775928778504"/>
          <c:w val="0.86150876301752599"/>
          <c:h val="0.42932203527635798"/>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0</xdr:rowOff>
    </xdr:from>
    <xdr:to>
      <xdr:col>8</xdr:col>
      <xdr:colOff>385120</xdr:colOff>
      <xdr:row>0</xdr:row>
      <xdr:rowOff>961905</xdr:rowOff>
    </xdr:to>
    <xdr:pic>
      <xdr:nvPicPr>
        <xdr:cNvPr id="3" name="Kuva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4615" y="0"/>
          <a:ext cx="5071745" cy="961390"/>
        </a:xfrm>
        <a:prstGeom prst="rect">
          <a:avLst/>
        </a:prstGeom>
      </xdr:spPr>
    </xdr:pic>
    <xdr:clientData/>
  </xdr:twoCellAnchor>
  <xdr:twoCellAnchor editAs="oneCell">
    <xdr:from>
      <xdr:col>9</xdr:col>
      <xdr:colOff>0</xdr:colOff>
      <xdr:row>5</xdr:row>
      <xdr:rowOff>0</xdr:rowOff>
    </xdr:from>
    <xdr:to>
      <xdr:col>16</xdr:col>
      <xdr:colOff>518045</xdr:colOff>
      <xdr:row>44</xdr:row>
      <xdr:rowOff>99218</xdr:rowOff>
    </xdr:to>
    <xdr:pic>
      <xdr:nvPicPr>
        <xdr:cNvPr id="9" name="Picture 4">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81625" y="1952625"/>
          <a:ext cx="4718050" cy="7588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694684</xdr:colOff>
      <xdr:row>2</xdr:row>
      <xdr:rowOff>580905</xdr:rowOff>
    </xdr:to>
    <xdr:pic>
      <xdr:nvPicPr>
        <xdr:cNvPr id="2" name="Kuva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123180" cy="961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501650</xdr:colOff>
      <xdr:row>11</xdr:row>
      <xdr:rowOff>69850</xdr:rowOff>
    </xdr:from>
    <xdr:to>
      <xdr:col>3</xdr:col>
      <xdr:colOff>584200</xdr:colOff>
      <xdr:row>31</xdr:row>
      <xdr:rowOff>76200</xdr:rowOff>
    </xdr:to>
    <xdr:graphicFrame macro="">
      <xdr:nvGraphicFramePr>
        <xdr:cNvPr id="19" name="Kaavio 18">
          <a:extLst>
            <a:ext uri="{FF2B5EF4-FFF2-40B4-BE49-F238E27FC236}">
              <a16:creationId xmlns:a16="http://schemas.microsoft.com/office/drawing/2014/main" id="{00000000-0008-0000-06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44450</xdr:colOff>
      <xdr:row>11</xdr:row>
      <xdr:rowOff>57150</xdr:rowOff>
    </xdr:from>
    <xdr:to>
      <xdr:col>8</xdr:col>
      <xdr:colOff>533400</xdr:colOff>
      <xdr:row>31</xdr:row>
      <xdr:rowOff>82550</xdr:rowOff>
    </xdr:to>
    <xdr:graphicFrame macro="">
      <xdr:nvGraphicFramePr>
        <xdr:cNvPr id="21" name="Kaavio 20">
          <a:extLst>
            <a:ext uri="{FF2B5EF4-FFF2-40B4-BE49-F238E27FC236}">
              <a16:creationId xmlns:a16="http://schemas.microsoft.com/office/drawing/2014/main" id="{00000000-0008-0000-06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76200</xdr:rowOff>
    </xdr:from>
    <xdr:to>
      <xdr:col>1</xdr:col>
      <xdr:colOff>457200</xdr:colOff>
      <xdr:row>31</xdr:row>
      <xdr:rowOff>82550</xdr:rowOff>
    </xdr:to>
    <xdr:graphicFrame macro="">
      <xdr:nvGraphicFramePr>
        <xdr:cNvPr id="22" name="Kaavio 21">
          <a:extLst>
            <a:ext uri="{FF2B5EF4-FFF2-40B4-BE49-F238E27FC236}">
              <a16:creationId xmlns:a16="http://schemas.microsoft.com/office/drawing/2014/main" id="{00000000-0008-0000-06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31751</xdr:colOff>
      <xdr:row>33</xdr:row>
      <xdr:rowOff>82550</xdr:rowOff>
    </xdr:from>
    <xdr:to>
      <xdr:col>1</xdr:col>
      <xdr:colOff>469900</xdr:colOff>
      <xdr:row>53</xdr:row>
      <xdr:rowOff>69850</xdr:rowOff>
    </xdr:to>
    <xdr:graphicFrame macro="">
      <xdr:nvGraphicFramePr>
        <xdr:cNvPr id="23" name="Kaavio 22">
          <a:extLst>
            <a:ext uri="{FF2B5EF4-FFF2-40B4-BE49-F238E27FC236}">
              <a16:creationId xmlns:a16="http://schemas.microsoft.com/office/drawing/2014/main" id="{00000000-0008-0000-06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31750</xdr:colOff>
      <xdr:row>33</xdr:row>
      <xdr:rowOff>76200</xdr:rowOff>
    </xdr:from>
    <xdr:to>
      <xdr:col>8</xdr:col>
      <xdr:colOff>469900</xdr:colOff>
      <xdr:row>53</xdr:row>
      <xdr:rowOff>82550</xdr:rowOff>
    </xdr:to>
    <xdr:graphicFrame macro="">
      <xdr:nvGraphicFramePr>
        <xdr:cNvPr id="25" name="Kaavio 24">
          <a:extLst>
            <a:ext uri="{FF2B5EF4-FFF2-40B4-BE49-F238E27FC236}">
              <a16:creationId xmlns:a16="http://schemas.microsoft.com/office/drawing/2014/main" id="{00000000-0008-0000-06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533399</xdr:colOff>
      <xdr:row>33</xdr:row>
      <xdr:rowOff>82550</xdr:rowOff>
    </xdr:from>
    <xdr:to>
      <xdr:col>4</xdr:col>
      <xdr:colOff>0</xdr:colOff>
      <xdr:row>53</xdr:row>
      <xdr:rowOff>69850</xdr:rowOff>
    </xdr:to>
    <xdr:graphicFrame macro="">
      <xdr:nvGraphicFramePr>
        <xdr:cNvPr id="27" name="Kaavio 26">
          <a:extLst>
            <a:ext uri="{FF2B5EF4-FFF2-40B4-BE49-F238E27FC236}">
              <a16:creationId xmlns:a16="http://schemas.microsoft.com/office/drawing/2014/main" id="{00000000-0008-0000-06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55</xdr:row>
      <xdr:rowOff>57150</xdr:rowOff>
    </xdr:from>
    <xdr:to>
      <xdr:col>1</xdr:col>
      <xdr:colOff>488950</xdr:colOff>
      <xdr:row>84</xdr:row>
      <xdr:rowOff>114300</xdr:rowOff>
    </xdr:to>
    <xdr:graphicFrame macro="">
      <xdr:nvGraphicFramePr>
        <xdr:cNvPr id="28" name="Kaavio 27">
          <a:extLst>
            <a:ext uri="{FF2B5EF4-FFF2-40B4-BE49-F238E27FC236}">
              <a16:creationId xmlns:a16="http://schemas.microsoft.com/office/drawing/2014/main" id="{00000000-0008-0000-06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50800</xdr:colOff>
      <xdr:row>55</xdr:row>
      <xdr:rowOff>66675</xdr:rowOff>
    </xdr:from>
    <xdr:to>
      <xdr:col>8</xdr:col>
      <xdr:colOff>511175</xdr:colOff>
      <xdr:row>84</xdr:row>
      <xdr:rowOff>101600</xdr:rowOff>
    </xdr:to>
    <xdr:graphicFrame macro="">
      <xdr:nvGraphicFramePr>
        <xdr:cNvPr id="29" name="Kaavio 28">
          <a:extLst>
            <a:ext uri="{FF2B5EF4-FFF2-40B4-BE49-F238E27FC236}">
              <a16:creationId xmlns:a16="http://schemas.microsoft.com/office/drawing/2014/main" id="{00000000-0008-0000-06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584200</xdr:colOff>
      <xdr:row>55</xdr:row>
      <xdr:rowOff>66675</xdr:rowOff>
    </xdr:from>
    <xdr:to>
      <xdr:col>3</xdr:col>
      <xdr:colOff>596900</xdr:colOff>
      <xdr:row>84</xdr:row>
      <xdr:rowOff>117475</xdr:rowOff>
    </xdr:to>
    <xdr:graphicFrame macro="">
      <xdr:nvGraphicFramePr>
        <xdr:cNvPr id="30" name="Kaavio 29">
          <a:extLst>
            <a:ext uri="{FF2B5EF4-FFF2-40B4-BE49-F238E27FC236}">
              <a16:creationId xmlns:a16="http://schemas.microsoft.com/office/drawing/2014/main" id="{00000000-0008-0000-06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86</xdr:row>
      <xdr:rowOff>158750</xdr:rowOff>
    </xdr:from>
    <xdr:to>
      <xdr:col>1</xdr:col>
      <xdr:colOff>431800</xdr:colOff>
      <xdr:row>103</xdr:row>
      <xdr:rowOff>107950</xdr:rowOff>
    </xdr:to>
    <xdr:graphicFrame macro="">
      <xdr:nvGraphicFramePr>
        <xdr:cNvPr id="31" name="Kaavio 30">
          <a:extLst>
            <a:ext uri="{FF2B5EF4-FFF2-40B4-BE49-F238E27FC236}">
              <a16:creationId xmlns:a16="http://schemas.microsoft.com/office/drawing/2014/main" id="{00000000-0008-0000-06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88900</xdr:colOff>
      <xdr:row>86</xdr:row>
      <xdr:rowOff>139700</xdr:rowOff>
    </xdr:from>
    <xdr:to>
      <xdr:col>8</xdr:col>
      <xdr:colOff>539750</xdr:colOff>
      <xdr:row>103</xdr:row>
      <xdr:rowOff>88900</xdr:rowOff>
    </xdr:to>
    <xdr:graphicFrame macro="">
      <xdr:nvGraphicFramePr>
        <xdr:cNvPr id="36" name="Kaavio 35">
          <a:extLst>
            <a:ext uri="{FF2B5EF4-FFF2-40B4-BE49-F238E27FC236}">
              <a16:creationId xmlns:a16="http://schemas.microsoft.com/office/drawing/2014/main" id="{00000000-0008-0000-06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508000</xdr:colOff>
      <xdr:row>86</xdr:row>
      <xdr:rowOff>146051</xdr:rowOff>
    </xdr:from>
    <xdr:to>
      <xdr:col>4</xdr:col>
      <xdr:colOff>38101</xdr:colOff>
      <xdr:row>103</xdr:row>
      <xdr:rowOff>88901</xdr:rowOff>
    </xdr:to>
    <xdr:graphicFrame macro="">
      <xdr:nvGraphicFramePr>
        <xdr:cNvPr id="37" name="Kaavio 36">
          <a:extLst>
            <a:ext uri="{FF2B5EF4-FFF2-40B4-BE49-F238E27FC236}">
              <a16:creationId xmlns:a16="http://schemas.microsoft.com/office/drawing/2014/main" id="{00000000-0008-0000-0600-00002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28575</xdr:colOff>
      <xdr:row>0</xdr:row>
      <xdr:rowOff>0</xdr:rowOff>
    </xdr:from>
    <xdr:to>
      <xdr:col>2</xdr:col>
      <xdr:colOff>151759</xdr:colOff>
      <xdr:row>0</xdr:row>
      <xdr:rowOff>961905</xdr:rowOff>
    </xdr:to>
    <xdr:pic>
      <xdr:nvPicPr>
        <xdr:cNvPr id="2" name="Kuva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3"/>
        <a:stretch>
          <a:fillRect/>
        </a:stretch>
      </xdr:blipFill>
      <xdr:spPr>
        <a:xfrm>
          <a:off x="28575" y="0"/>
          <a:ext cx="5123180" cy="961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50800</xdr:rowOff>
    </xdr:from>
    <xdr:to>
      <xdr:col>1</xdr:col>
      <xdr:colOff>1676400</xdr:colOff>
      <xdr:row>28</xdr:row>
      <xdr:rowOff>12700</xdr:rowOff>
    </xdr:to>
    <xdr:graphicFrame macro="">
      <xdr:nvGraphicFramePr>
        <xdr:cNvPr id="2" name="Kaavi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29</xdr:row>
      <xdr:rowOff>25400</xdr:rowOff>
    </xdr:from>
    <xdr:to>
      <xdr:col>1</xdr:col>
      <xdr:colOff>1670050</xdr:colOff>
      <xdr:row>48</xdr:row>
      <xdr:rowOff>38099</xdr:rowOff>
    </xdr:to>
    <xdr:graphicFrame macro="">
      <xdr:nvGraphicFramePr>
        <xdr:cNvPr id="3" name="Kaavi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8</xdr:col>
      <xdr:colOff>638175</xdr:colOff>
      <xdr:row>26</xdr:row>
      <xdr:rowOff>23812</xdr:rowOff>
    </xdr:from>
    <xdr:ext cx="65" cy="165877"/>
    <xdr:sp macro="" textlink="">
      <xdr:nvSpPr>
        <xdr:cNvPr id="4" name="Tekstiruutu 3">
          <a:extLst>
            <a:ext uri="{FF2B5EF4-FFF2-40B4-BE49-F238E27FC236}">
              <a16:creationId xmlns:a16="http://schemas.microsoft.com/office/drawing/2014/main" id="{00000000-0008-0000-0700-000004000000}"/>
            </a:ext>
          </a:extLst>
        </xdr:cNvPr>
        <xdr:cNvSpPr txBox="1"/>
      </xdr:nvSpPr>
      <xdr:spPr>
        <a:xfrm>
          <a:off x="14687550" y="6186170"/>
          <a:ext cx="0" cy="165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i-FI" sz="1100"/>
        </a:p>
      </xdr:txBody>
    </xdr:sp>
    <xdr:clientData/>
  </xdr:oneCellAnchor>
  <xdr:twoCellAnchor>
    <xdr:from>
      <xdr:col>0</xdr:col>
      <xdr:colOff>15874</xdr:colOff>
      <xdr:row>49</xdr:row>
      <xdr:rowOff>9524</xdr:rowOff>
    </xdr:from>
    <xdr:to>
      <xdr:col>1</xdr:col>
      <xdr:colOff>1676400</xdr:colOff>
      <xdr:row>76</xdr:row>
      <xdr:rowOff>158750</xdr:rowOff>
    </xdr:to>
    <xdr:graphicFrame macro="">
      <xdr:nvGraphicFramePr>
        <xdr:cNvPr id="5" name="Kaavio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85084</xdr:colOff>
      <xdr:row>0</xdr:row>
      <xdr:rowOff>961905</xdr:rowOff>
    </xdr:to>
    <xdr:pic>
      <xdr:nvPicPr>
        <xdr:cNvPr id="6" name="Kuva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4"/>
        <a:stretch>
          <a:fillRect/>
        </a:stretch>
      </xdr:blipFill>
      <xdr:spPr>
        <a:xfrm>
          <a:off x="0" y="0"/>
          <a:ext cx="5123180" cy="961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15875</xdr:colOff>
      <xdr:row>10</xdr:row>
      <xdr:rowOff>22224</xdr:rowOff>
    </xdr:from>
    <xdr:to>
      <xdr:col>1</xdr:col>
      <xdr:colOff>2286000</xdr:colOff>
      <xdr:row>28</xdr:row>
      <xdr:rowOff>25400</xdr:rowOff>
    </xdr:to>
    <xdr:graphicFrame macro="">
      <xdr:nvGraphicFramePr>
        <xdr:cNvPr id="2" name="Kaavi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28</xdr:row>
      <xdr:rowOff>152400</xdr:rowOff>
    </xdr:from>
    <xdr:to>
      <xdr:col>1</xdr:col>
      <xdr:colOff>2273300</xdr:colOff>
      <xdr:row>45</xdr:row>
      <xdr:rowOff>139700</xdr:rowOff>
    </xdr:to>
    <xdr:graphicFrame macro="">
      <xdr:nvGraphicFramePr>
        <xdr:cNvPr id="3" name="Kaavi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34925</xdr:colOff>
      <xdr:row>46</xdr:row>
      <xdr:rowOff>149224</xdr:rowOff>
    </xdr:from>
    <xdr:to>
      <xdr:col>1</xdr:col>
      <xdr:colOff>2266951</xdr:colOff>
      <xdr:row>69</xdr:row>
      <xdr:rowOff>6350</xdr:rowOff>
    </xdr:to>
    <xdr:graphicFrame macro="">
      <xdr:nvGraphicFramePr>
        <xdr:cNvPr id="4" name="Kaavi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208909</xdr:colOff>
      <xdr:row>0</xdr:row>
      <xdr:rowOff>961905</xdr:rowOff>
    </xdr:to>
    <xdr:pic>
      <xdr:nvPicPr>
        <xdr:cNvPr id="8" name="Kuva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4"/>
        <a:stretch>
          <a:fillRect/>
        </a:stretch>
      </xdr:blipFill>
      <xdr:spPr>
        <a:xfrm>
          <a:off x="0" y="0"/>
          <a:ext cx="5123180" cy="961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73025</xdr:rowOff>
    </xdr:from>
    <xdr:to>
      <xdr:col>6</xdr:col>
      <xdr:colOff>530225</xdr:colOff>
      <xdr:row>34</xdr:row>
      <xdr:rowOff>57150</xdr:rowOff>
    </xdr:to>
    <xdr:graphicFrame macro="">
      <xdr:nvGraphicFramePr>
        <xdr:cNvPr id="2" name="Kaavi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11759</xdr:colOff>
      <xdr:row>17</xdr:row>
      <xdr:rowOff>75846</xdr:rowOff>
    </xdr:from>
    <xdr:to>
      <xdr:col>7</xdr:col>
      <xdr:colOff>0</xdr:colOff>
      <xdr:row>33</xdr:row>
      <xdr:rowOff>142521</xdr:rowOff>
    </xdr:to>
    <xdr:graphicFrame macro="">
      <xdr:nvGraphicFramePr>
        <xdr:cNvPr id="3" name="Kaavi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0</xdr:row>
      <xdr:rowOff>133350</xdr:rowOff>
    </xdr:from>
    <xdr:to>
      <xdr:col>6</xdr:col>
      <xdr:colOff>590550</xdr:colOff>
      <xdr:row>16</xdr:row>
      <xdr:rowOff>12700</xdr:rowOff>
    </xdr:to>
    <xdr:graphicFrame macro="">
      <xdr:nvGraphicFramePr>
        <xdr:cNvPr id="6" name="Kaavio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9</xdr:row>
      <xdr:rowOff>6350</xdr:rowOff>
    </xdr:from>
    <xdr:to>
      <xdr:col>1</xdr:col>
      <xdr:colOff>1720850</xdr:colOff>
      <xdr:row>35</xdr:row>
      <xdr:rowOff>19050</xdr:rowOff>
    </xdr:to>
    <xdr:graphicFrame macro="">
      <xdr:nvGraphicFramePr>
        <xdr:cNvPr id="2" name="Kaavio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37</xdr:row>
      <xdr:rowOff>38100</xdr:rowOff>
    </xdr:from>
    <xdr:to>
      <xdr:col>1</xdr:col>
      <xdr:colOff>1762125</xdr:colOff>
      <xdr:row>59</xdr:row>
      <xdr:rowOff>171450</xdr:rowOff>
    </xdr:to>
    <xdr:graphicFrame macro="">
      <xdr:nvGraphicFramePr>
        <xdr:cNvPr id="3" name="Kaavio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22225</xdr:colOff>
      <xdr:row>61</xdr:row>
      <xdr:rowOff>22224</xdr:rowOff>
    </xdr:from>
    <xdr:to>
      <xdr:col>1</xdr:col>
      <xdr:colOff>1771650</xdr:colOff>
      <xdr:row>90</xdr:row>
      <xdr:rowOff>171450</xdr:rowOff>
    </xdr:to>
    <xdr:graphicFrame macro="">
      <xdr:nvGraphicFramePr>
        <xdr:cNvPr id="4" name="Kaavio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161284</xdr:colOff>
      <xdr:row>0</xdr:row>
      <xdr:rowOff>961905</xdr:rowOff>
    </xdr:to>
    <xdr:pic>
      <xdr:nvPicPr>
        <xdr:cNvPr id="5" name="Kuva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4"/>
        <a:stretch>
          <a:fillRect/>
        </a:stretch>
      </xdr:blipFill>
      <xdr:spPr>
        <a:xfrm>
          <a:off x="0" y="0"/>
          <a:ext cx="5123180" cy="9613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xdr:colOff>
      <xdr:row>25</xdr:row>
      <xdr:rowOff>12700</xdr:rowOff>
    </xdr:from>
    <xdr:to>
      <xdr:col>1</xdr:col>
      <xdr:colOff>2279650</xdr:colOff>
      <xdr:row>41</xdr:row>
      <xdr:rowOff>63500</xdr:rowOff>
    </xdr:to>
    <xdr:graphicFrame macro="">
      <xdr:nvGraphicFramePr>
        <xdr:cNvPr id="2" name="Kaavi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9</xdr:row>
      <xdr:rowOff>22225</xdr:rowOff>
    </xdr:from>
    <xdr:to>
      <xdr:col>1</xdr:col>
      <xdr:colOff>2286000</xdr:colOff>
      <xdr:row>24</xdr:row>
      <xdr:rowOff>9525</xdr:rowOff>
    </xdr:to>
    <xdr:graphicFrame macro="">
      <xdr:nvGraphicFramePr>
        <xdr:cNvPr id="3" name="Kaavi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3174</xdr:rowOff>
    </xdr:from>
    <xdr:to>
      <xdr:col>1</xdr:col>
      <xdr:colOff>2273300</xdr:colOff>
      <xdr:row>60</xdr:row>
      <xdr:rowOff>25399</xdr:rowOff>
    </xdr:to>
    <xdr:graphicFrame macro="">
      <xdr:nvGraphicFramePr>
        <xdr:cNvPr id="4" name="Kaavio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256534</xdr:colOff>
      <xdr:row>0</xdr:row>
      <xdr:rowOff>961905</xdr:rowOff>
    </xdr:to>
    <xdr:pic>
      <xdr:nvPicPr>
        <xdr:cNvPr id="7" name="Kuva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4"/>
        <a:stretch>
          <a:fillRect/>
        </a:stretch>
      </xdr:blipFill>
      <xdr:spPr>
        <a:xfrm>
          <a:off x="0" y="0"/>
          <a:ext cx="5123180" cy="96139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1:A5" totalsRowShown="0">
  <autoFilter ref="A1:A5" xr:uid="{00000000-0009-0000-0100-000002000000}"/>
  <tableColumns count="1">
    <tableColumn id="1" xr3:uid="{00000000-0010-0000-0000-000001000000}" name="Ventilation syste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ulukko3" displayName="Taulukko3" ref="A1:A5" totalsRowShown="0">
  <autoFilter ref="A1:A5" xr:uid="{00000000-0009-0000-0100-000003000000}"/>
  <tableColumns count="1">
    <tableColumn id="1" xr3:uid="{00000000-0010-0000-0100-000001000000}" name="Cooling syste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ulukko4" displayName="Taulukko4" ref="A1:A8" totalsRowShown="0">
  <autoFilter ref="A1:A8" xr:uid="{00000000-0009-0000-0100-000004000000}"/>
  <tableColumns count="1">
    <tableColumn id="1" xr3:uid="{00000000-0010-0000-0200-000001000000}" name="Type of building" dataDxfId="2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ulukko5" displayName="Taulukko5" ref="A1:A6" totalsRowShown="0">
  <autoFilter ref="A1:A6" xr:uid="{00000000-0009-0000-0100-000001000000}"/>
  <tableColumns count="1">
    <tableColumn id="1" xr3:uid="{00000000-0010-0000-0300-000001000000}" name="Heating system"/>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pageSetUpPr fitToPage="1"/>
  </sheetPr>
  <dimension ref="A1:K38"/>
  <sheetViews>
    <sheetView topLeftCell="C1" workbookViewId="0">
      <selection activeCell="C20" sqref="C20"/>
    </sheetView>
  </sheetViews>
  <sheetFormatPr defaultColWidth="9" defaultRowHeight="15"/>
  <cols>
    <col min="1" max="1" width="38.5703125" customWidth="1"/>
    <col min="2" max="2" width="35" customWidth="1"/>
    <col min="3" max="3" width="24.5703125" customWidth="1"/>
    <col min="4" max="4" width="4.42578125" customWidth="1"/>
    <col min="5" max="5" width="25.140625" customWidth="1"/>
    <col min="6" max="6" width="3.85546875" style="5" customWidth="1"/>
    <col min="7" max="7" width="28.85546875" customWidth="1"/>
    <col min="8" max="8" width="3.7109375" customWidth="1"/>
    <col min="9" max="9" width="16.7109375" customWidth="1"/>
    <col min="10" max="10" width="2.42578125" style="5" customWidth="1"/>
    <col min="11" max="11" width="5.140625" customWidth="1"/>
  </cols>
  <sheetData>
    <row r="1" spans="1:11" ht="18.75">
      <c r="A1" s="289" t="s">
        <v>0</v>
      </c>
      <c r="E1" s="29" t="s">
        <v>1</v>
      </c>
      <c r="G1" s="29" t="s">
        <v>2</v>
      </c>
    </row>
    <row r="2" spans="1:11">
      <c r="A2" s="7" t="s">
        <v>3</v>
      </c>
      <c r="B2" s="7"/>
      <c r="E2" s="56" t="s">
        <v>4</v>
      </c>
      <c r="G2" s="56" t="s">
        <v>5</v>
      </c>
    </row>
    <row r="3" spans="1:11">
      <c r="E3" s="29"/>
      <c r="F3" s="290"/>
      <c r="G3" s="29"/>
    </row>
    <row r="4" spans="1:11">
      <c r="C4" s="29" t="s">
        <v>6</v>
      </c>
      <c r="D4" s="29"/>
      <c r="E4" s="29" t="s">
        <v>7</v>
      </c>
      <c r="F4" s="290"/>
      <c r="G4" s="29" t="s">
        <v>7</v>
      </c>
      <c r="I4" s="298" t="s">
        <v>8</v>
      </c>
      <c r="J4" s="298"/>
      <c r="K4" s="290" t="s">
        <v>9</v>
      </c>
    </row>
    <row r="5" spans="1:11">
      <c r="A5" s="5"/>
      <c r="B5" s="3"/>
      <c r="C5" s="291" t="s">
        <v>10</v>
      </c>
      <c r="D5" s="291"/>
      <c r="E5" s="291"/>
      <c r="F5" s="3"/>
      <c r="K5" s="5"/>
    </row>
    <row r="6" spans="1:11">
      <c r="A6" s="29" t="s">
        <v>11</v>
      </c>
      <c r="B6" s="4"/>
      <c r="C6" s="4">
        <f>G6+E6</f>
        <v>82000</v>
      </c>
      <c r="D6" s="4"/>
      <c r="E6" s="2">
        <v>-2500</v>
      </c>
      <c r="F6" s="3"/>
      <c r="G6" s="292">
        <v>84500</v>
      </c>
      <c r="I6" s="2">
        <v>640000</v>
      </c>
      <c r="J6" s="3"/>
      <c r="K6" s="8">
        <v>0.02</v>
      </c>
    </row>
    <row r="7" spans="1:11">
      <c r="A7" s="29"/>
      <c r="B7" s="4"/>
      <c r="C7" s="4"/>
      <c r="D7" s="4"/>
      <c r="E7" s="2"/>
      <c r="F7" s="3"/>
      <c r="G7" s="292"/>
      <c r="I7" s="2"/>
      <c r="J7" s="3"/>
      <c r="K7" s="8"/>
    </row>
    <row r="8" spans="1:11">
      <c r="A8" s="29" t="s">
        <v>12</v>
      </c>
      <c r="B8" s="4"/>
      <c r="C8" s="4">
        <v>10000</v>
      </c>
      <c r="D8" s="4"/>
      <c r="E8" s="2">
        <f>C8</f>
        <v>10000</v>
      </c>
      <c r="F8" s="3"/>
      <c r="G8" s="7"/>
      <c r="I8" s="2">
        <f>600*40</f>
        <v>24000</v>
      </c>
      <c r="J8" s="3"/>
      <c r="K8" s="8">
        <v>0.02</v>
      </c>
    </row>
    <row r="9" spans="1:11">
      <c r="A9" s="29"/>
      <c r="B9" s="4"/>
      <c r="C9" s="4"/>
      <c r="D9" s="4"/>
      <c r="E9" s="2"/>
      <c r="F9" s="3"/>
      <c r="G9" s="7"/>
      <c r="I9" s="2"/>
      <c r="J9" s="3"/>
      <c r="K9" s="8"/>
    </row>
    <row r="10" spans="1:11">
      <c r="A10" s="29" t="s">
        <v>13</v>
      </c>
      <c r="B10" s="4"/>
      <c r="C10" s="4">
        <v>8500</v>
      </c>
      <c r="D10" s="4"/>
      <c r="E10" s="2">
        <f>C10</f>
        <v>8500</v>
      </c>
      <c r="F10" s="3"/>
      <c r="G10" s="7"/>
      <c r="I10" s="2">
        <v>18000</v>
      </c>
      <c r="J10" s="3"/>
      <c r="K10" s="8">
        <v>0.02</v>
      </c>
    </row>
    <row r="11" spans="1:11">
      <c r="A11" s="29"/>
      <c r="B11" s="4"/>
      <c r="C11" s="4"/>
      <c r="D11" s="4"/>
      <c r="E11" s="2"/>
      <c r="F11" s="3"/>
      <c r="G11" s="7"/>
      <c r="I11" s="2"/>
      <c r="J11" s="3"/>
      <c r="K11" s="8"/>
    </row>
    <row r="12" spans="1:11">
      <c r="A12" s="29" t="s">
        <v>14</v>
      </c>
      <c r="B12" s="4"/>
      <c r="C12" s="4">
        <f>500*30</f>
        <v>15000</v>
      </c>
      <c r="D12" s="4"/>
      <c r="E12" s="7"/>
      <c r="F12" s="3"/>
      <c r="G12" s="2">
        <f>C12</f>
        <v>15000</v>
      </c>
      <c r="I12" s="2">
        <f>600*30</f>
        <v>18000</v>
      </c>
      <c r="J12" s="3"/>
      <c r="K12" s="8">
        <v>0.02</v>
      </c>
    </row>
    <row r="13" spans="1:11">
      <c r="A13" s="29"/>
      <c r="B13" s="4"/>
      <c r="C13" s="4"/>
      <c r="D13" s="4"/>
      <c r="E13" s="2"/>
      <c r="F13" s="3"/>
      <c r="G13" s="7"/>
      <c r="I13" s="2"/>
      <c r="J13" s="3"/>
      <c r="K13" s="8"/>
    </row>
    <row r="14" spans="1:11">
      <c r="A14" s="29" t="s">
        <v>15</v>
      </c>
      <c r="B14" s="4"/>
      <c r="C14" s="4">
        <v>200000</v>
      </c>
      <c r="D14" s="4"/>
      <c r="E14" s="2">
        <v>-100000</v>
      </c>
      <c r="F14" s="3"/>
      <c r="G14" s="292">
        <v>300000</v>
      </c>
      <c r="I14" s="2">
        <v>200000</v>
      </c>
      <c r="J14" s="3"/>
      <c r="K14" s="8">
        <v>0.02</v>
      </c>
    </row>
    <row r="15" spans="1:11">
      <c r="A15" s="29"/>
      <c r="B15" s="4"/>
      <c r="C15" s="4"/>
      <c r="D15" s="4"/>
      <c r="E15" s="2"/>
      <c r="F15" s="3"/>
      <c r="G15" s="292"/>
      <c r="I15" s="2"/>
      <c r="J15" s="3"/>
      <c r="K15" s="8"/>
    </row>
    <row r="16" spans="1:11">
      <c r="A16" s="29" t="s">
        <v>16</v>
      </c>
      <c r="B16" s="4"/>
      <c r="C16" s="4">
        <f>48*100*10*365/1000</f>
        <v>17520</v>
      </c>
      <c r="D16" s="4"/>
      <c r="E16" s="2">
        <f>C16</f>
        <v>17520</v>
      </c>
      <c r="F16" s="3"/>
      <c r="G16" s="292"/>
      <c r="I16" s="2">
        <f>100*10</f>
        <v>1000</v>
      </c>
      <c r="J16" s="3"/>
      <c r="K16" s="8">
        <v>0.02</v>
      </c>
    </row>
    <row r="17" spans="1:11">
      <c r="A17" s="29"/>
      <c r="C17" s="4"/>
      <c r="D17" s="4"/>
      <c r="E17" s="2"/>
      <c r="F17" s="3"/>
      <c r="G17" s="292"/>
      <c r="I17" s="2"/>
      <c r="J17" s="3"/>
      <c r="K17" s="8"/>
    </row>
    <row r="18" spans="1:11">
      <c r="A18" s="29" t="s">
        <v>17</v>
      </c>
      <c r="B18" s="4"/>
      <c r="C18" s="4">
        <f>0.2*400000</f>
        <v>80000</v>
      </c>
      <c r="D18" s="4"/>
      <c r="E18" s="2">
        <f>0.5*C18</f>
        <v>40000</v>
      </c>
      <c r="F18" s="3"/>
      <c r="G18" s="292">
        <f>0.5*C18</f>
        <v>40000</v>
      </c>
      <c r="I18" s="2">
        <v>10000</v>
      </c>
      <c r="J18" s="3"/>
      <c r="K18" s="8">
        <v>0.02</v>
      </c>
    </row>
    <row r="19" spans="1:11">
      <c r="B19" s="4"/>
      <c r="C19" s="4"/>
      <c r="D19" s="4"/>
      <c r="E19" s="2"/>
      <c r="F19" s="3"/>
      <c r="G19" s="7"/>
      <c r="I19" s="2"/>
      <c r="J19" s="3"/>
      <c r="K19" s="8"/>
    </row>
    <row r="20" spans="1:11">
      <c r="A20" s="293" t="s">
        <v>18</v>
      </c>
      <c r="B20" s="29"/>
      <c r="C20" s="294">
        <f>SUM(C6:C18)</f>
        <v>413020</v>
      </c>
      <c r="D20" s="294"/>
      <c r="E20" s="294">
        <f>SUM(E6:E18)</f>
        <v>-26480</v>
      </c>
      <c r="F20" s="295"/>
      <c r="G20" s="294">
        <f>SUM(G6:G18)</f>
        <v>439500</v>
      </c>
      <c r="I20" s="10">
        <f>I6+I8+I10+I12+I14+I16+I18</f>
        <v>911000</v>
      </c>
      <c r="J20" s="3"/>
      <c r="K20" s="299">
        <f>SUM(K6:K19)</f>
        <v>0.14000000000000001</v>
      </c>
    </row>
    <row r="21" spans="1:11">
      <c r="B21" s="4"/>
    </row>
    <row r="22" spans="1:11">
      <c r="B22" s="4"/>
    </row>
    <row r="28" spans="1:11">
      <c r="A28" s="296"/>
      <c r="B28" s="4"/>
      <c r="C28" s="4"/>
      <c r="D28" s="4"/>
      <c r="E28" s="4"/>
      <c r="F28" s="3"/>
    </row>
    <row r="29" spans="1:11">
      <c r="A29" s="296"/>
      <c r="B29" s="4"/>
      <c r="C29" s="4"/>
      <c r="D29" s="4"/>
      <c r="E29" s="4"/>
      <c r="F29" s="3"/>
    </row>
    <row r="30" spans="1:11">
      <c r="B30" s="4"/>
      <c r="C30" s="4"/>
      <c r="D30" s="4"/>
      <c r="E30" s="4"/>
      <c r="F30" s="3"/>
    </row>
    <row r="31" spans="1:11">
      <c r="B31" s="4"/>
      <c r="C31" s="4"/>
      <c r="D31" s="4"/>
      <c r="E31" s="3"/>
    </row>
    <row r="32" spans="1:11">
      <c r="B32" s="4"/>
      <c r="C32" s="4"/>
      <c r="D32" s="4"/>
      <c r="E32" s="3"/>
      <c r="F32" s="3"/>
    </row>
    <row r="33" spans="2:5">
      <c r="B33" s="4"/>
      <c r="C33" s="4"/>
      <c r="D33" s="4"/>
      <c r="E33" s="5"/>
    </row>
    <row r="34" spans="2:5">
      <c r="E34" s="5"/>
    </row>
    <row r="38" spans="2:5">
      <c r="B38" s="297"/>
    </row>
  </sheetData>
  <pageMargins left="0.7" right="0.7" top="0.75" bottom="0.75" header="0.3" footer="0.3"/>
  <pageSetup paperSize="9" scale="61"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ul11">
    <pageSetUpPr fitToPage="1"/>
  </sheetPr>
  <dimension ref="H1:N54"/>
  <sheetViews>
    <sheetView topLeftCell="A10" workbookViewId="0">
      <selection activeCell="L11" sqref="L11"/>
    </sheetView>
  </sheetViews>
  <sheetFormatPr defaultColWidth="9" defaultRowHeight="15"/>
  <cols>
    <col min="10" max="10" width="9" hidden="1" customWidth="1"/>
    <col min="11" max="11" width="32.5703125" customWidth="1"/>
    <col min="12" max="12" width="27.28515625" customWidth="1"/>
    <col min="13" max="13" width="33.42578125" customWidth="1"/>
    <col min="14" max="14" width="15.140625" customWidth="1"/>
  </cols>
  <sheetData>
    <row r="1" spans="8:14">
      <c r="H1" t="s">
        <v>210</v>
      </c>
      <c r="I1" t="s">
        <v>211</v>
      </c>
      <c r="J1" s="6"/>
      <c r="K1" t="s">
        <v>212</v>
      </c>
      <c r="L1" t="s">
        <v>213</v>
      </c>
      <c r="M1" t="s">
        <v>214</v>
      </c>
      <c r="N1" t="s">
        <v>215</v>
      </c>
    </row>
    <row r="2" spans="8:14">
      <c r="J2" s="29" t="s">
        <v>209</v>
      </c>
      <c r="K2" s="29" t="str">
        <f>'2. Inputs and results'!B19</f>
        <v>One measure</v>
      </c>
      <c r="L2" s="29" t="str">
        <f>'2. Inputs and results'!C19</f>
        <v>Group procurement of the measure</v>
      </c>
      <c r="M2" s="29" t="str">
        <f>'2. Inputs and results'!B19</f>
        <v>One measure</v>
      </c>
      <c r="N2" s="29" t="str">
        <f>'2. Inputs and results'!C19</f>
        <v>Group procurement of the measure</v>
      </c>
    </row>
    <row r="3" spans="8:14">
      <c r="J3" s="29"/>
      <c r="M3" s="29" t="s">
        <v>216</v>
      </c>
      <c r="N3" s="29" t="s">
        <v>216</v>
      </c>
    </row>
    <row r="4" spans="8:14">
      <c r="H4">
        <f>'Solution 1, (hidden)'!B5</f>
        <v>0</v>
      </c>
      <c r="I4">
        <f>'Solution  2, (hidden)'!B5</f>
        <v>0</v>
      </c>
      <c r="J4">
        <f>IF('2. Inputs and results'!$C$23&gt;='2. Inputs and results'!$B$23,'Solution  2, (hidden)'!A5,'Solution 1, (hidden)'!A5)</f>
        <v>0</v>
      </c>
      <c r="K4" s="36">
        <f>'Solution 1, (hidden)'!AD5</f>
        <v>0</v>
      </c>
      <c r="L4" s="36">
        <f>'Solution  2, (hidden)'!AD5</f>
        <v>0</v>
      </c>
      <c r="M4" s="36">
        <f>'Solution 1, (hidden)'!AB5</f>
        <v>0</v>
      </c>
      <c r="N4" s="36">
        <f>'Solution  2, (hidden)'!AB5</f>
        <v>0</v>
      </c>
    </row>
    <row r="5" spans="8:14">
      <c r="H5">
        <f>'Solution 1, (hidden)'!B6</f>
        <v>1</v>
      </c>
      <c r="I5">
        <f>'Solution  2, (hidden)'!B6</f>
        <v>1</v>
      </c>
      <c r="J5">
        <f>IF('2. Inputs and results'!$C$23&gt;='2. Inputs and results'!$B$23,'Solution  2, (hidden)'!B6,'Solution 1, (hidden)'!B6)</f>
        <v>1</v>
      </c>
      <c r="K5" s="36">
        <f>'Solution 1, (hidden)'!AD6</f>
        <v>4.1508951406649619E-2</v>
      </c>
      <c r="L5" s="36">
        <f>'Solution  2, (hidden)'!AD6</f>
        <v>6.4537815126050418E-2</v>
      </c>
      <c r="M5" s="36">
        <f>'Solution 1, (hidden)'!AB6</f>
        <v>4.1508951406649619E-2</v>
      </c>
      <c r="N5" s="36">
        <f>'Solution  2, (hidden)'!AB6</f>
        <v>6.4537815126050418E-2</v>
      </c>
    </row>
    <row r="6" spans="8:14">
      <c r="H6">
        <f>'Solution 1, (hidden)'!B7</f>
        <v>2</v>
      </c>
      <c r="I6">
        <f>'Solution  2, (hidden)'!B7</f>
        <v>2</v>
      </c>
      <c r="J6">
        <f>IF('2. Inputs and results'!$C$23&gt;='2. Inputs and results'!$B$23,'Solution  2, (hidden)'!B7,'Solution 1, (hidden)'!B7)</f>
        <v>2</v>
      </c>
      <c r="K6" s="36">
        <f>'Solution 1, (hidden)'!AD7</f>
        <v>8.384808184143222E-2</v>
      </c>
      <c r="L6" s="36">
        <f>'Solution  2, (hidden)'!AD7</f>
        <v>0.13036638655462185</v>
      </c>
      <c r="M6" s="36">
        <f>'Solution 1, (hidden)'!AB7</f>
        <v>8.6046291560102295E-2</v>
      </c>
      <c r="N6" s="36">
        <f>'Solution  2, (hidden)'!AB7</f>
        <v>0.13325546218487394</v>
      </c>
    </row>
    <row r="7" spans="8:14">
      <c r="H7">
        <f>'Solution 1, (hidden)'!B8</f>
        <v>3</v>
      </c>
      <c r="I7">
        <f>'Solution  2, (hidden)'!B8</f>
        <v>3</v>
      </c>
      <c r="J7">
        <f>IF('2. Inputs and results'!$C$23&gt;='2. Inputs and results'!$B$23,'Solution  2, (hidden)'!B8,'Solution 1, (hidden)'!B8)</f>
        <v>3</v>
      </c>
      <c r="K7" s="36">
        <f>'Solution 1, (hidden)'!AD8</f>
        <v>0.12703399488491049</v>
      </c>
      <c r="L7" s="36">
        <f>'Solution  2, (hidden)'!AD8</f>
        <v>0.1975115294117647</v>
      </c>
      <c r="M7" s="36">
        <f>'Solution 1, (hidden)'!AB8</f>
        <v>0.13373853452685422</v>
      </c>
      <c r="N7" s="36">
        <f>'Solution  2, (hidden)'!AB8</f>
        <v>0.20632321008403362</v>
      </c>
    </row>
    <row r="8" spans="8:14">
      <c r="H8">
        <f>'Solution 1, (hidden)'!B9</f>
        <v>4</v>
      </c>
      <c r="I8">
        <f>'Solution  2, (hidden)'!B9</f>
        <v>4</v>
      </c>
      <c r="J8">
        <f>IF('2. Inputs and results'!$C$23&gt;='2. Inputs and results'!$B$23,'Solution  2, (hidden)'!B9,'Solution 1, (hidden)'!B9)</f>
        <v>4</v>
      </c>
      <c r="K8" s="36">
        <f>'Solution 1, (hidden)'!AD9</f>
        <v>0.17108362618925832</v>
      </c>
      <c r="L8" s="36">
        <f>'Solution  2, (hidden)'!AD9</f>
        <v>0.26599957512605038</v>
      </c>
      <c r="M8" s="36">
        <f>'Solution 1, (hidden)'!AB9</f>
        <v>0.18471670304347826</v>
      </c>
      <c r="N8" s="36">
        <f>'Solution  2, (hidden)'!AB9</f>
        <v>0.28391733327731095</v>
      </c>
    </row>
    <row r="9" spans="8:14">
      <c r="H9">
        <f>'Solution 1, (hidden)'!B10</f>
        <v>5</v>
      </c>
      <c r="I9">
        <f>'Solution  2, (hidden)'!B10</f>
        <v>5</v>
      </c>
      <c r="J9">
        <f>IF('2. Inputs and results'!$C$23&gt;='2. Inputs and results'!$B$23,'Solution  2, (hidden)'!B10,'Solution 1, (hidden)'!B10)</f>
        <v>5</v>
      </c>
      <c r="K9" s="36">
        <f>'Solution 1, (hidden)'!AD10</f>
        <v>0.21601425011969308</v>
      </c>
      <c r="L9" s="36">
        <f>'Solution  2, (hidden)'!AD10</f>
        <v>0.33585738175462182</v>
      </c>
      <c r="M9" s="36">
        <f>'Solution 1, (hidden)'!AB10</f>
        <v>0.23911647804168798</v>
      </c>
      <c r="N9" s="36">
        <f>'Solution  2, (hidden)'!AB10</f>
        <v>0.36622030988067228</v>
      </c>
    </row>
    <row r="10" spans="8:14">
      <c r="H10">
        <f>'Solution 1, (hidden)'!B11</f>
        <v>6</v>
      </c>
      <c r="I10">
        <f>'Solution  2, (hidden)'!B11</f>
        <v>6</v>
      </c>
      <c r="J10">
        <f>IF('2. Inputs and results'!$C$23&gt;='2. Inputs and results'!$B$23,'Solution  2, (hidden)'!B11,'Solution 1, (hidden)'!B11)</f>
        <v>6</v>
      </c>
      <c r="K10" s="36">
        <f>'Solution 1, (hidden)'!AD11</f>
        <v>0.26184348652873657</v>
      </c>
      <c r="L10" s="36">
        <f>'Solution  2, (hidden)'!AD11</f>
        <v>0.40711234451576472</v>
      </c>
      <c r="M10" s="36">
        <f>'Solution 1, (hidden)'!AB11</f>
        <v>0.29707835294445273</v>
      </c>
      <c r="N10" s="36">
        <f>'Solution  2, (hidden)'!AB11</f>
        <v>0.45342102609070589</v>
      </c>
    </row>
    <row r="11" spans="8:14">
      <c r="H11">
        <f>'Solution 1, (hidden)'!B12</f>
        <v>7</v>
      </c>
      <c r="I11">
        <f>'Solution  2, (hidden)'!B12</f>
        <v>7</v>
      </c>
      <c r="J11">
        <f>IF('2. Inputs and results'!$C$23&gt;='2. Inputs and results'!$B$23,'Solution  2, (hidden)'!B12,'Solution 1, (hidden)'!B12)</f>
        <v>7</v>
      </c>
      <c r="K11" s="36">
        <f>'Solution 1, (hidden)'!AD12</f>
        <v>0.30858930766596093</v>
      </c>
      <c r="L11" s="36">
        <f>'Solution  2, (hidden)'!AD12</f>
        <v>0.47979240653213034</v>
      </c>
      <c r="M11" s="36">
        <f>'Solution 1, (hidden)'!AB12</f>
        <v>0.3587477928820012</v>
      </c>
      <c r="N11" s="36">
        <f>'Solution  2, (hidden)'!AB12</f>
        <v>0.54571498710178334</v>
      </c>
    </row>
    <row r="12" spans="8:14">
      <c r="H12">
        <f>'Solution 1, (hidden)'!B13</f>
        <v>8</v>
      </c>
      <c r="I12">
        <f>'Solution  2, (hidden)'!B13</f>
        <v>8</v>
      </c>
      <c r="J12">
        <f>IF('2. Inputs and results'!$C$23&gt;='2. Inputs and results'!$B$23,'Solution  2, (hidden)'!B13,'Solution 1, (hidden)'!B13)</f>
        <v>8</v>
      </c>
      <c r="K12" s="36">
        <f>'Solution 1, (hidden)'!AD13</f>
        <v>0.35627004522592975</v>
      </c>
      <c r="L12" s="36">
        <f>'Solution  2, (hidden)'!AD13</f>
        <v>0.55392606978882342</v>
      </c>
      <c r="M12" s="36">
        <f>'Solution 1, (hidden)'!AB13</f>
        <v>0.42427539898113115</v>
      </c>
      <c r="N12" s="36">
        <f>'Solution  2, (hidden)'!AB13</f>
        <v>0.64330453472423088</v>
      </c>
    </row>
    <row r="13" spans="8:14">
      <c r="H13">
        <f>'Solution 1, (hidden)'!B14</f>
        <v>9</v>
      </c>
      <c r="I13">
        <f>'Solution  2, (hidden)'!B14</f>
        <v>9</v>
      </c>
      <c r="J13">
        <f>IF('2. Inputs and results'!$C$23&gt;='2. Inputs and results'!$B$23,'Solution  2, (hidden)'!B14,'Solution 1, (hidden)'!B14)</f>
        <v>9</v>
      </c>
      <c r="K13" s="36">
        <f>'Solution 1, (hidden)'!AD14</f>
        <v>0.40490439753709795</v>
      </c>
      <c r="L13" s="36">
        <f>'Solution  2, (hidden)'!AD14</f>
        <v>0.62954240631065028</v>
      </c>
      <c r="M13" s="36">
        <f>'Solution 1, (hidden)'!AB14</f>
        <v>0.49381707788595885</v>
      </c>
      <c r="N13" s="36">
        <f>'Solution  2, (hidden)'!AB14</f>
        <v>0.74639907191201038</v>
      </c>
    </row>
    <row r="14" spans="8:14">
      <c r="H14">
        <f>'Solution 1, (hidden)'!B15</f>
        <v>10</v>
      </c>
      <c r="I14">
        <f>'Solution  2, (hidden)'!B15</f>
        <v>10</v>
      </c>
      <c r="J14">
        <f>IF('2. Inputs and results'!$C$23&gt;='2. Inputs and results'!$B$23,'Solution  2, (hidden)'!B15,'Solution 1, (hidden)'!B15)</f>
        <v>10</v>
      </c>
      <c r="K14" s="36">
        <f>'Solution 1, (hidden)'!AD15</f>
        <v>0.45451143689448947</v>
      </c>
      <c r="L14" s="36">
        <f>'Solution  2, (hidden)'!AD15</f>
        <v>0.7066710695629137</v>
      </c>
      <c r="M14" s="36">
        <f>'Solution 1, (hidden)'!AB15</f>
        <v>0.56753421667310988</v>
      </c>
      <c r="N14" s="36">
        <f>'Solution  2, (hidden)'!AB15</f>
        <v>0.85521529441481481</v>
      </c>
    </row>
    <row r="15" spans="8:14">
      <c r="H15">
        <f>'Solution 1, (hidden)'!B16</f>
        <v>11</v>
      </c>
      <c r="I15">
        <f>'Solution  2, (hidden)'!B16</f>
        <v>11</v>
      </c>
      <c r="J15">
        <f>IF('2. Inputs and results'!$C$23&gt;='2. Inputs and results'!$B$23,'Solution  2, (hidden)'!B16,'Solution 1, (hidden)'!B16)</f>
        <v>11</v>
      </c>
      <c r="K15" s="36">
        <f>'Solution 1, (hidden)'!AD16</f>
        <v>0.50511061703902893</v>
      </c>
      <c r="L15" s="36">
        <f>'Solution  2, (hidden)'!AD16</f>
        <v>0.78534230608022249</v>
      </c>
      <c r="M15" s="36">
        <f>'Solution 1, (hidden)'!AB16</f>
        <v>0.64559386332935742</v>
      </c>
      <c r="N15" s="36">
        <f>'Solution  2, (hidden)'!AB16</f>
        <v>0.96997742977608292</v>
      </c>
    </row>
    <row r="16" spans="8:14">
      <c r="H16">
        <f>'Solution 1, (hidden)'!B17</f>
        <v>12</v>
      </c>
      <c r="I16">
        <f>'Solution  2, (hidden)'!B17</f>
        <v>12</v>
      </c>
      <c r="J16">
        <f>IF('2. Inputs and results'!$C$23&gt;='2. Inputs and results'!$B$23,'Solution  2, (hidden)'!B17,'Solution 1, (hidden)'!B17)</f>
        <v>12</v>
      </c>
      <c r="K16" s="36">
        <f>'Solution 1, (hidden)'!AD17</f>
        <v>0.55672178078645917</v>
      </c>
      <c r="L16" s="36">
        <f>'Solution  2, (hidden)'!AD17</f>
        <v>0.86558696732787721</v>
      </c>
      <c r="M16" s="36">
        <f>'Solution 1, (hidden)'!AB17</f>
        <v>0.72816891296488429</v>
      </c>
      <c r="N16" s="36">
        <f>'Solution  2, (hidden)'!AB17</f>
        <v>1.0909174839052362</v>
      </c>
    </row>
    <row r="17" spans="8:14">
      <c r="H17">
        <f>'Solution 1, (hidden)'!B18</f>
        <v>13</v>
      </c>
      <c r="I17">
        <f>'Solution  2, (hidden)'!B18</f>
        <v>13</v>
      </c>
      <c r="J17">
        <f>IF('2. Inputs and results'!$C$23&gt;='2. Inputs and results'!$B$23,'Solution  2, (hidden)'!B18,'Solution 1, (hidden)'!B18)</f>
        <v>13</v>
      </c>
      <c r="K17" s="36">
        <f>'Solution 1, (hidden)'!AD18</f>
        <v>0.60936516780883798</v>
      </c>
      <c r="L17" s="36">
        <f>'Solution  2, (hidden)'!AD18</f>
        <v>0.94743652180048532</v>
      </c>
      <c r="M17" s="36">
        <f>'Solution 1, (hidden)'!AB18</f>
        <v>0.8154382999406603</v>
      </c>
      <c r="N17" s="36">
        <f>'Solution  2, (hidden)'!AB18</f>
        <v>1.2164571457813473</v>
      </c>
    </row>
    <row r="18" spans="8:14">
      <c r="H18">
        <f>'Solution 1, (hidden)'!B19</f>
        <v>14</v>
      </c>
      <c r="I18">
        <f>'Solution  2, (hidden)'!B19</f>
        <v>14</v>
      </c>
      <c r="J18">
        <f>IF('2. Inputs and results'!$C$23&gt;='2. Inputs and results'!$B$23,'Solution  2, (hidden)'!B19,'Solution 1, (hidden)'!B19)</f>
        <v>14</v>
      </c>
      <c r="K18" s="36">
        <f>'Solution 1, (hidden)'!AD19</f>
        <v>0.66306142257166445</v>
      </c>
      <c r="L18" s="36">
        <f>'Solution  2, (hidden)'!AD19</f>
        <v>1.0309230673625456</v>
      </c>
      <c r="M18" s="36">
        <f>'Solution 1, (hidden)'!AB19</f>
        <v>0.90758719609391691</v>
      </c>
      <c r="N18" s="36">
        <f>'Solution  2, (hidden)'!AB19</f>
        <v>1.3461159386902122</v>
      </c>
    </row>
    <row r="19" spans="8:14">
      <c r="H19">
        <f>'Solution 1, (hidden)'!B20</f>
        <v>15</v>
      </c>
      <c r="I19">
        <f>'Solution  2, (hidden)'!B20</f>
        <v>15</v>
      </c>
      <c r="J19">
        <f>IF('2. Inputs and results'!$C$23&gt;='2. Inputs and results'!$B$23,'Solution  2, (hidden)'!B20,'Solution 1, (hidden)'!B20)</f>
        <v>15</v>
      </c>
      <c r="K19" s="36">
        <f>'Solution 1, (hidden)'!AD20</f>
        <v>0.71783160242974731</v>
      </c>
      <c r="L19" s="36">
        <f>'Solution  2, (hidden)'!AD20</f>
        <v>1.1154608824885959</v>
      </c>
      <c r="M19" s="36">
        <f>'Solution 1, (hidden)'!AB20</f>
        <v>1.0048072152513423</v>
      </c>
      <c r="N19" s="36">
        <f>'Solution  2, (hidden)'!AB20</f>
        <v>1.4800174365628136</v>
      </c>
    </row>
    <row r="20" spans="8:14">
      <c r="H20">
        <f>'Solution 1, (hidden)'!B21</f>
        <v>16</v>
      </c>
      <c r="I20">
        <f>'Solution  2, (hidden)'!B21</f>
        <v>16</v>
      </c>
      <c r="J20">
        <f>IF('2. Inputs and results'!$C$23&gt;='2. Inputs and results'!$B$23,'Solution  2, (hidden)'!B21,'Solution 1, (hidden)'!B21)</f>
        <v>16</v>
      </c>
      <c r="K20" s="36">
        <f>'Solution 1, (hidden)'!AD21</f>
        <v>0.77369718588499181</v>
      </c>
      <c r="L20" s="36">
        <f>'Solution  2, (hidden)'!AD21</f>
        <v>1.1999986976146464</v>
      </c>
      <c r="M20" s="36">
        <f>'Solution 1, (hidden)'!AB21</f>
        <v>1.1072004799204265</v>
      </c>
      <c r="N20" s="36">
        <f>'Solution  2, (hidden)'!AB21</f>
        <v>1.6182889205480639</v>
      </c>
    </row>
    <row r="21" spans="8:14">
      <c r="H21">
        <f>'Solution 1, (hidden)'!B22</f>
        <v>17</v>
      </c>
      <c r="I21">
        <f>'Solution  2, (hidden)'!B22</f>
        <v>17</v>
      </c>
      <c r="J21">
        <f>IF('2. Inputs and results'!$C$23&gt;='2. Inputs and results'!$B$23,'Solution  2, (hidden)'!B22,'Solution 1, (hidden)'!B22)</f>
        <v>17</v>
      </c>
      <c r="K21" s="36">
        <f>'Solution 1, (hidden)'!AD22</f>
        <v>0.83068008100934132</v>
      </c>
      <c r="L21" s="36">
        <f>'Solution  2, (hidden)'!AD22</f>
        <v>1.2845365127406967</v>
      </c>
      <c r="M21" s="36">
        <f>'Solution 1, (hidden)'!AB22</f>
        <v>1.2130184837060538</v>
      </c>
      <c r="N21" s="36">
        <f>'Solution  2, (hidden)'!AB22</f>
        <v>1.7610614902293422</v>
      </c>
    </row>
    <row r="22" spans="8:14">
      <c r="H22">
        <f>'Solution 1, (hidden)'!B23</f>
        <v>18</v>
      </c>
      <c r="I22">
        <f>'Solution  2, (hidden)'!B23</f>
        <v>18</v>
      </c>
      <c r="J22">
        <f>IF('2. Inputs and results'!$C$23&gt;='2. Inputs and results'!$B$23,'Solution  2, (hidden)'!B23,'Solution 1, (hidden)'!B23)</f>
        <v>18</v>
      </c>
      <c r="K22" s="36">
        <f>'Solution 1, (hidden)'!AD23</f>
        <v>0.88880263403617776</v>
      </c>
      <c r="L22" s="36">
        <f>'Solution  2, (hidden)'!AD23</f>
        <v>1.3690743278667472</v>
      </c>
      <c r="M22" s="36">
        <f>'Solution 1, (hidden)'!AB23</f>
        <v>1.3223639687817206</v>
      </c>
      <c r="N22" s="36">
        <f>'Solution  2, (hidden)'!AB23</f>
        <v>1.9084701781775293</v>
      </c>
    </row>
    <row r="23" spans="8:14">
      <c r="H23">
        <f>'Solution 1, (hidden)'!B24</f>
        <v>19</v>
      </c>
      <c r="I23">
        <f>'Solution  2, (hidden)'!B24</f>
        <v>19</v>
      </c>
      <c r="J23">
        <f>IF('2. Inputs and results'!$C$23&gt;='2. Inputs and results'!$B$23,'Solution  2, (hidden)'!B24,'Solution 1, (hidden)'!B24)</f>
        <v>19</v>
      </c>
      <c r="K23" s="36">
        <f>'Solution 1, (hidden)'!AD24</f>
        <v>0.94808763812355101</v>
      </c>
      <c r="L23" s="36">
        <f>'Solution  2, (hidden)'!AD24</f>
        <v>1.4536121429927975</v>
      </c>
      <c r="M23" s="36">
        <f>'Solution 1, (hidden)'!AB24</f>
        <v>1.4353427595861279</v>
      </c>
      <c r="N23" s="36">
        <f>'Solution  2, (hidden)'!AB24</f>
        <v>2.0606540679406327</v>
      </c>
    </row>
    <row r="24" spans="8:14">
      <c r="H24">
        <f>'Solution 1, (hidden)'!B25</f>
        <v>20</v>
      </c>
      <c r="I24">
        <f>'Solution  2, (hidden)'!B25</f>
        <v>20</v>
      </c>
      <c r="J24">
        <f>IF('2. Inputs and results'!$C$23&gt;='2. Inputs and results'!$B$23,'Solution  2, (hidden)'!B25,'Solution 1, (hidden)'!B25)</f>
        <v>20</v>
      </c>
      <c r="K24" s="36">
        <f>'Solution 1, (hidden)'!AD25</f>
        <v>1.0085583422926716</v>
      </c>
      <c r="L24" s="36">
        <f>'Solution  2, (hidden)'!AD25</f>
        <v>1.538149958118848</v>
      </c>
      <c r="M24" s="36">
        <f>'Solution 1, (hidden)'!AB25</f>
        <v>1.5520638552911381</v>
      </c>
      <c r="N24" s="36">
        <f>'Solution  2, (hidden)'!AB25</f>
        <v>2.2177564155731</v>
      </c>
    </row>
    <row r="25" spans="8:14">
      <c r="H25" t="str">
        <f>'Solution 1, (hidden)'!B26</f>
        <v xml:space="preserve"> </v>
      </c>
      <c r="I25" t="str">
        <f>'Solution  2, (hidden)'!B26</f>
        <v xml:space="preserve"> </v>
      </c>
      <c r="J25" t="str">
        <f>IF('2. Inputs and results'!$C$23&gt;='2. Inputs and results'!$B$23,'Solution  2, (hidden)'!B26,'Solution 1, (hidden)'!B26)</f>
        <v xml:space="preserve"> </v>
      </c>
      <c r="K25" s="36" t="e">
        <f>'Solution 1, (hidden)'!AD26</f>
        <v>#N/A</v>
      </c>
      <c r="L25" s="36" t="e">
        <f>'Solution  2, (hidden)'!AD26</f>
        <v>#N/A</v>
      </c>
      <c r="M25" s="36" t="e">
        <f>'Solution 1, (hidden)'!AB26</f>
        <v>#N/A</v>
      </c>
      <c r="N25" s="36" t="e">
        <f>'Solution  2, (hidden)'!AB26</f>
        <v>#N/A</v>
      </c>
    </row>
    <row r="26" spans="8:14">
      <c r="H26" t="str">
        <f>'Solution 1, (hidden)'!B27</f>
        <v xml:space="preserve"> </v>
      </c>
      <c r="I26" t="str">
        <f>'Solution  2, (hidden)'!B27</f>
        <v xml:space="preserve"> </v>
      </c>
      <c r="J26" t="str">
        <f>IF('2. Inputs and results'!$C$23&gt;='2. Inputs and results'!$B$23,'Solution  2, (hidden)'!B27,'Solution 1, (hidden)'!B27)</f>
        <v xml:space="preserve"> </v>
      </c>
      <c r="K26" s="36" t="e">
        <f>'Solution 1, (hidden)'!AD27</f>
        <v>#N/A</v>
      </c>
      <c r="L26" s="36" t="e">
        <f>'Solution  2, (hidden)'!AD27</f>
        <v>#N/A</v>
      </c>
      <c r="M26" s="36" t="e">
        <f>'Solution 1, (hidden)'!AB27</f>
        <v>#N/A</v>
      </c>
      <c r="N26" s="36" t="e">
        <f>'Solution  2, (hidden)'!AB27</f>
        <v>#N/A</v>
      </c>
    </row>
    <row r="27" spans="8:14">
      <c r="H27" t="str">
        <f>'Solution 1, (hidden)'!B28</f>
        <v xml:space="preserve"> </v>
      </c>
      <c r="I27" t="str">
        <f>'Solution  2, (hidden)'!B28</f>
        <v xml:space="preserve"> </v>
      </c>
      <c r="J27" t="str">
        <f>IF('2. Inputs and results'!$C$23&gt;='2. Inputs and results'!$B$23,'Solution  2, (hidden)'!B28,'Solution 1, (hidden)'!B28)</f>
        <v xml:space="preserve"> </v>
      </c>
      <c r="K27" s="36" t="e">
        <f>'Solution 1, (hidden)'!AD28</f>
        <v>#N/A</v>
      </c>
      <c r="L27" s="36" t="e">
        <f>'Solution  2, (hidden)'!AD28</f>
        <v>#N/A</v>
      </c>
      <c r="M27" s="36" t="e">
        <f>'Solution 1, (hidden)'!AB28</f>
        <v>#N/A</v>
      </c>
      <c r="N27" s="36" t="e">
        <f>'Solution  2, (hidden)'!AB28</f>
        <v>#N/A</v>
      </c>
    </row>
    <row r="28" spans="8:14">
      <c r="H28" t="str">
        <f>'Solution 1, (hidden)'!B29</f>
        <v xml:space="preserve"> </v>
      </c>
      <c r="I28" t="str">
        <f>'Solution  2, (hidden)'!B29</f>
        <v xml:space="preserve"> </v>
      </c>
      <c r="J28" t="str">
        <f>IF('2. Inputs and results'!$C$23&gt;='2. Inputs and results'!$B$23,'Solution  2, (hidden)'!B29,'Solution 1, (hidden)'!B29)</f>
        <v xml:space="preserve"> </v>
      </c>
      <c r="K28" s="36" t="e">
        <f>'Solution 1, (hidden)'!AD29</f>
        <v>#N/A</v>
      </c>
      <c r="L28" s="36" t="e">
        <f>'Solution  2, (hidden)'!AD29</f>
        <v>#N/A</v>
      </c>
      <c r="M28" s="36" t="e">
        <f>'Solution 1, (hidden)'!AB29</f>
        <v>#N/A</v>
      </c>
      <c r="N28" s="36" t="e">
        <f>'Solution  2, (hidden)'!AB29</f>
        <v>#N/A</v>
      </c>
    </row>
    <row r="29" spans="8:14">
      <c r="H29" t="str">
        <f>'Solution 1, (hidden)'!B30</f>
        <v xml:space="preserve"> </v>
      </c>
      <c r="I29" t="str">
        <f>'Solution  2, (hidden)'!B30</f>
        <v xml:space="preserve"> </v>
      </c>
      <c r="J29" t="str">
        <f>IF('2. Inputs and results'!$C$23&gt;='2. Inputs and results'!$B$23,'Solution  2, (hidden)'!B30,'Solution 1, (hidden)'!B30)</f>
        <v xml:space="preserve"> </v>
      </c>
      <c r="K29" s="36" t="e">
        <f>'Solution 1, (hidden)'!AD30</f>
        <v>#N/A</v>
      </c>
      <c r="L29" s="36" t="e">
        <f>'Solution  2, (hidden)'!AD30</f>
        <v>#N/A</v>
      </c>
      <c r="M29" s="36" t="e">
        <f>'Solution 1, (hidden)'!AB30</f>
        <v>#N/A</v>
      </c>
      <c r="N29" s="36" t="e">
        <f>'Solution  2, (hidden)'!AB30</f>
        <v>#N/A</v>
      </c>
    </row>
    <row r="30" spans="8:14">
      <c r="H30" t="str">
        <f>'Solution 1, (hidden)'!B31</f>
        <v xml:space="preserve"> </v>
      </c>
      <c r="I30" t="str">
        <f>'Solution  2, (hidden)'!B31</f>
        <v xml:space="preserve"> </v>
      </c>
      <c r="J30" t="str">
        <f>IF('2. Inputs and results'!$C$23&gt;='2. Inputs and results'!$B$23,'Solution  2, (hidden)'!B31,'Solution 1, (hidden)'!B31)</f>
        <v xml:space="preserve"> </v>
      </c>
      <c r="K30" s="36" t="e">
        <f>'Solution 1, (hidden)'!AD31</f>
        <v>#N/A</v>
      </c>
      <c r="L30" s="36" t="e">
        <f>'Solution  2, (hidden)'!AD31</f>
        <v>#N/A</v>
      </c>
      <c r="M30" s="36" t="e">
        <f>'Solution 1, (hidden)'!AB31</f>
        <v>#N/A</v>
      </c>
      <c r="N30" s="36" t="e">
        <f>'Solution  2, (hidden)'!AB31</f>
        <v>#N/A</v>
      </c>
    </row>
    <row r="31" spans="8:14">
      <c r="H31" t="str">
        <f>'Solution 1, (hidden)'!B32</f>
        <v xml:space="preserve"> </v>
      </c>
      <c r="I31" t="str">
        <f>'Solution  2, (hidden)'!B32</f>
        <v xml:space="preserve"> </v>
      </c>
      <c r="J31" t="str">
        <f>IF('2. Inputs and results'!$C$23&gt;='2. Inputs and results'!$B$23,'Solution  2, (hidden)'!B32,'Solution 1, (hidden)'!B32)</f>
        <v xml:space="preserve"> </v>
      </c>
      <c r="K31" s="36" t="e">
        <f>'Solution 1, (hidden)'!AD32</f>
        <v>#N/A</v>
      </c>
      <c r="L31" s="36" t="e">
        <f>'Solution  2, (hidden)'!AD32</f>
        <v>#N/A</v>
      </c>
      <c r="M31" s="36" t="e">
        <f>'Solution 1, (hidden)'!AB32</f>
        <v>#N/A</v>
      </c>
      <c r="N31" s="36" t="e">
        <f>'Solution  2, (hidden)'!AB32</f>
        <v>#N/A</v>
      </c>
    </row>
    <row r="32" spans="8:14">
      <c r="H32" t="str">
        <f>'Solution 1, (hidden)'!B33</f>
        <v xml:space="preserve"> </v>
      </c>
      <c r="I32" t="str">
        <f>'Solution  2, (hidden)'!B33</f>
        <v xml:space="preserve"> </v>
      </c>
      <c r="J32" t="str">
        <f>IF('2. Inputs and results'!$C$23&gt;='2. Inputs and results'!$B$23,'Solution  2, (hidden)'!B33,'Solution 1, (hidden)'!B33)</f>
        <v xml:space="preserve"> </v>
      </c>
      <c r="K32" s="36" t="e">
        <f>'Solution 1, (hidden)'!AD33</f>
        <v>#N/A</v>
      </c>
      <c r="L32" s="36" t="e">
        <f>'Solution  2, (hidden)'!AD33</f>
        <v>#N/A</v>
      </c>
      <c r="M32" s="36" t="e">
        <f>'Solution 1, (hidden)'!AB33</f>
        <v>#N/A</v>
      </c>
      <c r="N32" s="36" t="e">
        <f>'Solution  2, (hidden)'!AB33</f>
        <v>#N/A</v>
      </c>
    </row>
    <row r="33" spans="8:14">
      <c r="H33" t="str">
        <f>'Solution 1, (hidden)'!B34</f>
        <v xml:space="preserve"> </v>
      </c>
      <c r="I33" t="str">
        <f>'Solution  2, (hidden)'!B34</f>
        <v xml:space="preserve"> </v>
      </c>
      <c r="J33" t="str">
        <f>IF('2. Inputs and results'!$C$23&gt;='2. Inputs and results'!$B$23,'Solution  2, (hidden)'!B34,'Solution 1, (hidden)'!B34)</f>
        <v xml:space="preserve"> </v>
      </c>
      <c r="K33" s="36" t="e">
        <f>'Solution 1, (hidden)'!AD34</f>
        <v>#N/A</v>
      </c>
      <c r="L33" s="36" t="e">
        <f>'Solution  2, (hidden)'!AD34</f>
        <v>#N/A</v>
      </c>
      <c r="M33" s="36" t="e">
        <f>'Solution 1, (hidden)'!AB34</f>
        <v>#N/A</v>
      </c>
      <c r="N33" s="36" t="e">
        <f>'Solution  2, (hidden)'!AB34</f>
        <v>#N/A</v>
      </c>
    </row>
    <row r="34" spans="8:14">
      <c r="H34" t="str">
        <f>'Solution 1, (hidden)'!B35</f>
        <v xml:space="preserve"> </v>
      </c>
      <c r="I34" t="str">
        <f>'Solution  2, (hidden)'!B35</f>
        <v xml:space="preserve"> </v>
      </c>
      <c r="J34" t="str">
        <f>IF('2. Inputs and results'!$C$23&gt;='2. Inputs and results'!$B$23,'Solution  2, (hidden)'!B35,'Solution 1, (hidden)'!B35)</f>
        <v xml:space="preserve"> </v>
      </c>
      <c r="K34" s="36" t="e">
        <f>'Solution 1, (hidden)'!AD35</f>
        <v>#N/A</v>
      </c>
      <c r="L34" s="36" t="e">
        <f>'Solution  2, (hidden)'!AD35</f>
        <v>#N/A</v>
      </c>
      <c r="M34" s="36" t="e">
        <f>'Solution 1, (hidden)'!AB35</f>
        <v>#N/A</v>
      </c>
      <c r="N34" s="36" t="e">
        <f>'Solution  2, (hidden)'!AB35</f>
        <v>#N/A</v>
      </c>
    </row>
    <row r="35" spans="8:14">
      <c r="H35" t="str">
        <f>'Solution 1, (hidden)'!B36</f>
        <v xml:space="preserve"> </v>
      </c>
      <c r="I35" t="str">
        <f>'Solution  2, (hidden)'!B36</f>
        <v xml:space="preserve"> </v>
      </c>
      <c r="J35" t="str">
        <f>IF('2. Inputs and results'!$C$23&gt;='2. Inputs and results'!$B$23,'Solution  2, (hidden)'!B36,'Solution 1, (hidden)'!B36)</f>
        <v xml:space="preserve"> </v>
      </c>
      <c r="K35" s="36" t="e">
        <f>'Solution 1, (hidden)'!AD36</f>
        <v>#N/A</v>
      </c>
      <c r="L35" s="36" t="e">
        <f>'Solution  2, (hidden)'!AD36</f>
        <v>#N/A</v>
      </c>
      <c r="M35" s="36" t="e">
        <f>'Solution 1, (hidden)'!AB36</f>
        <v>#N/A</v>
      </c>
      <c r="N35" s="36" t="e">
        <f>'Solution  2, (hidden)'!AB36</f>
        <v>#N/A</v>
      </c>
    </row>
    <row r="36" spans="8:14">
      <c r="H36" t="str">
        <f>'Solution 1, (hidden)'!B37</f>
        <v xml:space="preserve"> </v>
      </c>
      <c r="I36" t="str">
        <f>'Solution  2, (hidden)'!B37</f>
        <v xml:space="preserve"> </v>
      </c>
      <c r="J36" t="str">
        <f>IF('2. Inputs and results'!$C$23&gt;='2. Inputs and results'!$B$23,'Solution  2, (hidden)'!B37,'Solution 1, (hidden)'!B37)</f>
        <v xml:space="preserve"> </v>
      </c>
      <c r="K36" s="36" t="e">
        <f>'Solution 1, (hidden)'!AD37</f>
        <v>#N/A</v>
      </c>
      <c r="L36" s="36" t="e">
        <f>'Solution  2, (hidden)'!AD37</f>
        <v>#N/A</v>
      </c>
      <c r="M36" s="36" t="e">
        <f>'Solution 1, (hidden)'!AB37</f>
        <v>#N/A</v>
      </c>
      <c r="N36" s="36" t="e">
        <f>'Solution  2, (hidden)'!AB37</f>
        <v>#N/A</v>
      </c>
    </row>
    <row r="37" spans="8:14">
      <c r="H37" t="str">
        <f>'Solution 1, (hidden)'!B38</f>
        <v xml:space="preserve"> </v>
      </c>
      <c r="I37" t="str">
        <f>'Solution  2, (hidden)'!B38</f>
        <v xml:space="preserve"> </v>
      </c>
      <c r="J37" t="str">
        <f>IF('2. Inputs and results'!$C$23&gt;='2. Inputs and results'!$B$23,'Solution  2, (hidden)'!B38,'Solution 1, (hidden)'!B38)</f>
        <v xml:space="preserve"> </v>
      </c>
      <c r="K37" s="36" t="e">
        <f>'Solution 1, (hidden)'!AD38</f>
        <v>#N/A</v>
      </c>
      <c r="L37" s="36" t="e">
        <f>'Solution  2, (hidden)'!AD38</f>
        <v>#N/A</v>
      </c>
      <c r="M37" s="36" t="e">
        <f>'Solution 1, (hidden)'!AB38</f>
        <v>#N/A</v>
      </c>
      <c r="N37" s="36" t="e">
        <f>'Solution  2, (hidden)'!AB38</f>
        <v>#N/A</v>
      </c>
    </row>
    <row r="38" spans="8:14">
      <c r="H38" t="str">
        <f>'Solution 1, (hidden)'!B39</f>
        <v xml:space="preserve"> </v>
      </c>
      <c r="I38" t="str">
        <f>'Solution  2, (hidden)'!B39</f>
        <v xml:space="preserve"> </v>
      </c>
      <c r="J38" t="str">
        <f>IF('2. Inputs and results'!$C$23&gt;='2. Inputs and results'!$B$23,'Solution  2, (hidden)'!B39,'Solution 1, (hidden)'!B39)</f>
        <v xml:space="preserve"> </v>
      </c>
      <c r="K38" s="36" t="e">
        <f>'Solution 1, (hidden)'!AD39</f>
        <v>#N/A</v>
      </c>
      <c r="L38" s="36" t="e">
        <f>'Solution  2, (hidden)'!AD39</f>
        <v>#N/A</v>
      </c>
      <c r="M38" s="36" t="e">
        <f>'Solution 1, (hidden)'!AB39</f>
        <v>#N/A</v>
      </c>
      <c r="N38" s="36" t="e">
        <f>'Solution  2, (hidden)'!AB39</f>
        <v>#N/A</v>
      </c>
    </row>
    <row r="39" spans="8:14">
      <c r="H39" t="str">
        <f>'Solution 1, (hidden)'!B40</f>
        <v xml:space="preserve"> </v>
      </c>
      <c r="I39" t="str">
        <f>'Solution  2, (hidden)'!B40</f>
        <v xml:space="preserve"> </v>
      </c>
      <c r="J39" t="str">
        <f>IF('2. Inputs and results'!$C$23&gt;='2. Inputs and results'!$B$23,'Solution  2, (hidden)'!B40,'Solution 1, (hidden)'!B40)</f>
        <v xml:space="preserve"> </v>
      </c>
      <c r="K39" s="36" t="e">
        <f>'Solution 1, (hidden)'!AD40</f>
        <v>#N/A</v>
      </c>
      <c r="L39" s="36" t="e">
        <f>'Solution  2, (hidden)'!AD40</f>
        <v>#N/A</v>
      </c>
      <c r="M39" s="36" t="e">
        <f>'Solution 1, (hidden)'!AB40</f>
        <v>#N/A</v>
      </c>
      <c r="N39" s="36" t="e">
        <f>'Solution  2, (hidden)'!AB40</f>
        <v>#N/A</v>
      </c>
    </row>
    <row r="40" spans="8:14">
      <c r="H40" t="str">
        <f>'Solution 1, (hidden)'!B41</f>
        <v xml:space="preserve"> </v>
      </c>
      <c r="I40" t="str">
        <f>'Solution  2, (hidden)'!B41</f>
        <v xml:space="preserve"> </v>
      </c>
      <c r="J40" t="str">
        <f>IF('2. Inputs and results'!$C$23&gt;='2. Inputs and results'!$B$23,'Solution  2, (hidden)'!B41,'Solution 1, (hidden)'!B41)</f>
        <v xml:space="preserve"> </v>
      </c>
      <c r="K40" s="36" t="e">
        <f>'Solution 1, (hidden)'!AD41</f>
        <v>#N/A</v>
      </c>
      <c r="L40" s="36" t="e">
        <f>'Solution  2, (hidden)'!AD41</f>
        <v>#N/A</v>
      </c>
      <c r="M40" s="36" t="e">
        <f>'Solution 1, (hidden)'!AB41</f>
        <v>#N/A</v>
      </c>
      <c r="N40" s="36" t="e">
        <f>'Solution  2, (hidden)'!AB41</f>
        <v>#N/A</v>
      </c>
    </row>
    <row r="41" spans="8:14">
      <c r="H41" t="str">
        <f>'Solution 1, (hidden)'!B42</f>
        <v xml:space="preserve"> </v>
      </c>
      <c r="I41" t="str">
        <f>'Solution  2, (hidden)'!B42</f>
        <v xml:space="preserve"> </v>
      </c>
      <c r="J41" t="str">
        <f>IF('2. Inputs and results'!$C$23&gt;='2. Inputs and results'!$B$23,'Solution  2, (hidden)'!B42,'Solution 1, (hidden)'!B42)</f>
        <v xml:space="preserve"> </v>
      </c>
      <c r="K41" s="36" t="e">
        <f>'Solution 1, (hidden)'!AD42</f>
        <v>#N/A</v>
      </c>
      <c r="L41" s="36" t="e">
        <f>'Solution  2, (hidden)'!AD42</f>
        <v>#N/A</v>
      </c>
      <c r="M41" s="36" t="e">
        <f>'Solution 1, (hidden)'!AB42</f>
        <v>#N/A</v>
      </c>
      <c r="N41" s="36" t="e">
        <f>'Solution  2, (hidden)'!AB42</f>
        <v>#N/A</v>
      </c>
    </row>
    <row r="42" spans="8:14">
      <c r="H42" t="str">
        <f>'Solution 1, (hidden)'!B43</f>
        <v xml:space="preserve"> </v>
      </c>
      <c r="I42" t="str">
        <f>'Solution  2, (hidden)'!B43</f>
        <v xml:space="preserve"> </v>
      </c>
      <c r="J42" t="str">
        <f>IF('2. Inputs and results'!$C$23&gt;='2. Inputs and results'!$B$23,'Solution  2, (hidden)'!B43,'Solution 1, (hidden)'!B43)</f>
        <v xml:space="preserve"> </v>
      </c>
      <c r="K42" s="36" t="e">
        <f>'Solution 1, (hidden)'!AD43</f>
        <v>#N/A</v>
      </c>
      <c r="L42" s="36" t="e">
        <f>'Solution  2, (hidden)'!AD43</f>
        <v>#N/A</v>
      </c>
      <c r="M42" s="36" t="e">
        <f>'Solution 1, (hidden)'!AB43</f>
        <v>#N/A</v>
      </c>
      <c r="N42" s="36" t="e">
        <f>'Solution  2, (hidden)'!AB43</f>
        <v>#N/A</v>
      </c>
    </row>
    <row r="43" spans="8:14">
      <c r="H43" t="str">
        <f>'Solution 1, (hidden)'!B44</f>
        <v xml:space="preserve"> </v>
      </c>
      <c r="I43" t="str">
        <f>'Solution  2, (hidden)'!B44</f>
        <v xml:space="preserve"> </v>
      </c>
      <c r="J43" t="str">
        <f>IF('2. Inputs and results'!$C$23&gt;='2. Inputs and results'!$B$23,'Solution  2, (hidden)'!B44,'Solution 1, (hidden)'!B44)</f>
        <v xml:space="preserve"> </v>
      </c>
      <c r="K43" s="36" t="e">
        <f>'Solution 1, (hidden)'!AD44</f>
        <v>#N/A</v>
      </c>
      <c r="L43" s="36" t="e">
        <f>'Solution  2, (hidden)'!AD44</f>
        <v>#N/A</v>
      </c>
      <c r="M43" s="36" t="e">
        <f>'Solution 1, (hidden)'!AB44</f>
        <v>#N/A</v>
      </c>
      <c r="N43" s="36" t="e">
        <f>'Solution  2, (hidden)'!AB44</f>
        <v>#N/A</v>
      </c>
    </row>
    <row r="44" spans="8:14">
      <c r="H44" t="str">
        <f>'Solution 1, (hidden)'!B45</f>
        <v xml:space="preserve"> </v>
      </c>
      <c r="I44" t="str">
        <f>'Solution  2, (hidden)'!B45</f>
        <v xml:space="preserve"> </v>
      </c>
      <c r="J44" t="str">
        <f>IF('2. Inputs and results'!$C$23&gt;='2. Inputs and results'!$B$23,'Solution  2, (hidden)'!B45,'Solution 1, (hidden)'!B45)</f>
        <v xml:space="preserve"> </v>
      </c>
      <c r="K44" s="36" t="e">
        <f>'Solution 1, (hidden)'!AD45</f>
        <v>#N/A</v>
      </c>
      <c r="L44" s="36" t="e">
        <f>'Solution  2, (hidden)'!AD45</f>
        <v>#N/A</v>
      </c>
      <c r="M44" s="36" t="e">
        <f>'Solution 1, (hidden)'!AB45</f>
        <v>#N/A</v>
      </c>
      <c r="N44" s="36" t="e">
        <f>'Solution  2, (hidden)'!AB45</f>
        <v>#N/A</v>
      </c>
    </row>
    <row r="45" spans="8:14">
      <c r="H45" t="str">
        <f>'Solution 1, (hidden)'!B46</f>
        <v xml:space="preserve"> </v>
      </c>
      <c r="I45" t="str">
        <f>'Solution  2, (hidden)'!B46</f>
        <v xml:space="preserve"> </v>
      </c>
      <c r="J45" t="str">
        <f>IF('2. Inputs and results'!$C$23&gt;='2. Inputs and results'!$B$23,'Solution  2, (hidden)'!B46,'Solution 1, (hidden)'!B46)</f>
        <v xml:space="preserve"> </v>
      </c>
      <c r="K45" s="36" t="e">
        <f>'Solution 1, (hidden)'!AD46</f>
        <v>#N/A</v>
      </c>
      <c r="L45" s="36" t="e">
        <f>'Solution  2, (hidden)'!AD46</f>
        <v>#N/A</v>
      </c>
      <c r="M45" s="36" t="e">
        <f>'Solution 1, (hidden)'!AB46</f>
        <v>#N/A</v>
      </c>
      <c r="N45" s="36" t="e">
        <f>'Solution  2, (hidden)'!AB46</f>
        <v>#N/A</v>
      </c>
    </row>
    <row r="46" spans="8:14">
      <c r="H46" t="str">
        <f>'Solution 1, (hidden)'!B47</f>
        <v xml:space="preserve"> </v>
      </c>
      <c r="I46" t="str">
        <f>'Solution  2, (hidden)'!B47</f>
        <v xml:space="preserve"> </v>
      </c>
      <c r="J46" t="str">
        <f>IF('2. Inputs and results'!$C$23&gt;='2. Inputs and results'!$B$23,'Solution  2, (hidden)'!B47,'Solution 1, (hidden)'!B47)</f>
        <v xml:space="preserve"> </v>
      </c>
      <c r="K46" s="36" t="e">
        <f>'Solution 1, (hidden)'!AD47</f>
        <v>#N/A</v>
      </c>
      <c r="L46" s="36" t="e">
        <f>'Solution  2, (hidden)'!AD47</f>
        <v>#N/A</v>
      </c>
      <c r="M46" s="36" t="e">
        <f>'Solution 1, (hidden)'!AB47</f>
        <v>#N/A</v>
      </c>
      <c r="N46" s="36" t="e">
        <f>'Solution  2, (hidden)'!AB47</f>
        <v>#N/A</v>
      </c>
    </row>
    <row r="47" spans="8:14">
      <c r="H47" t="str">
        <f>'Solution 1, (hidden)'!B48</f>
        <v xml:space="preserve"> </v>
      </c>
      <c r="I47" t="str">
        <f>'Solution  2, (hidden)'!B48</f>
        <v xml:space="preserve"> </v>
      </c>
      <c r="J47" t="str">
        <f>IF('2. Inputs and results'!$C$23&gt;='2. Inputs and results'!$B$23,'Solution  2, (hidden)'!B48,'Solution 1, (hidden)'!B48)</f>
        <v xml:space="preserve"> </v>
      </c>
      <c r="K47" s="36" t="e">
        <f>'Solution 1, (hidden)'!AD48</f>
        <v>#N/A</v>
      </c>
      <c r="L47" s="36" t="e">
        <f>'Solution  2, (hidden)'!AD48</f>
        <v>#N/A</v>
      </c>
      <c r="M47" s="36" t="e">
        <f>'Solution 1, (hidden)'!AB48</f>
        <v>#N/A</v>
      </c>
      <c r="N47" s="36" t="e">
        <f>'Solution  2, (hidden)'!AB48</f>
        <v>#N/A</v>
      </c>
    </row>
    <row r="48" spans="8:14">
      <c r="H48" t="str">
        <f>'Solution 1, (hidden)'!B49</f>
        <v xml:space="preserve"> </v>
      </c>
      <c r="I48" t="str">
        <f>'Solution  2, (hidden)'!B49</f>
        <v xml:space="preserve"> </v>
      </c>
      <c r="J48" t="str">
        <f>IF('2. Inputs and results'!$C$23&gt;='2. Inputs and results'!$B$23,'Solution  2, (hidden)'!B49,'Solution 1, (hidden)'!B49)</f>
        <v xml:space="preserve"> </v>
      </c>
      <c r="K48" s="36" t="e">
        <f>'Solution 1, (hidden)'!AD49</f>
        <v>#N/A</v>
      </c>
      <c r="L48" s="36" t="e">
        <f>'Solution  2, (hidden)'!AD49</f>
        <v>#N/A</v>
      </c>
      <c r="M48" s="36" t="e">
        <f>'Solution 1, (hidden)'!AB49</f>
        <v>#N/A</v>
      </c>
      <c r="N48" s="36" t="e">
        <f>'Solution  2, (hidden)'!AB49</f>
        <v>#N/A</v>
      </c>
    </row>
    <row r="49" spans="8:14">
      <c r="H49" t="str">
        <f>'Solution 1, (hidden)'!B50</f>
        <v xml:space="preserve"> </v>
      </c>
      <c r="I49" t="str">
        <f>'Solution  2, (hidden)'!B50</f>
        <v xml:space="preserve"> </v>
      </c>
      <c r="J49" t="str">
        <f>IF('2. Inputs and results'!$C$23&gt;='2. Inputs and results'!$B$23,'Solution  2, (hidden)'!B50,'Solution 1, (hidden)'!B50)</f>
        <v xml:space="preserve"> </v>
      </c>
      <c r="K49" s="36" t="e">
        <f>'Solution 1, (hidden)'!AD50</f>
        <v>#N/A</v>
      </c>
      <c r="L49" s="36" t="e">
        <f>'Solution  2, (hidden)'!AD50</f>
        <v>#N/A</v>
      </c>
      <c r="M49" s="36" t="e">
        <f>'Solution 1, (hidden)'!AB50</f>
        <v>#N/A</v>
      </c>
      <c r="N49" s="36" t="e">
        <f>'Solution  2, (hidden)'!AB50</f>
        <v>#N/A</v>
      </c>
    </row>
    <row r="50" spans="8:14">
      <c r="H50" t="str">
        <f>'Solution 1, (hidden)'!B51</f>
        <v xml:space="preserve"> </v>
      </c>
      <c r="I50" t="str">
        <f>'Solution  2, (hidden)'!B51</f>
        <v xml:space="preserve"> </v>
      </c>
      <c r="J50" t="str">
        <f>IF('2. Inputs and results'!$C$23&gt;='2. Inputs and results'!$B$23,'Solution  2, (hidden)'!B51,'Solution 1, (hidden)'!B51)</f>
        <v xml:space="preserve"> </v>
      </c>
      <c r="K50" s="36" t="e">
        <f>'Solution 1, (hidden)'!AD51</f>
        <v>#N/A</v>
      </c>
      <c r="L50" s="36" t="e">
        <f>'Solution  2, (hidden)'!AD51</f>
        <v>#N/A</v>
      </c>
      <c r="M50" s="36" t="e">
        <f>'Solution 1, (hidden)'!AB51</f>
        <v>#N/A</v>
      </c>
      <c r="N50" s="36" t="e">
        <f>'Solution  2, (hidden)'!AB51</f>
        <v>#N/A</v>
      </c>
    </row>
    <row r="51" spans="8:14">
      <c r="H51" t="str">
        <f>'Solution 1, (hidden)'!B52</f>
        <v xml:space="preserve"> </v>
      </c>
      <c r="I51" t="str">
        <f>'Solution  2, (hidden)'!B52</f>
        <v xml:space="preserve"> </v>
      </c>
      <c r="J51" t="str">
        <f>IF('2. Inputs and results'!$C$23&gt;='2. Inputs and results'!$B$23,'Solution  2, (hidden)'!B52,'Solution 1, (hidden)'!B52)</f>
        <v xml:space="preserve"> </v>
      </c>
      <c r="K51" s="36" t="e">
        <f>'Solution 1, (hidden)'!AD52</f>
        <v>#N/A</v>
      </c>
      <c r="L51" s="36" t="e">
        <f>'Solution  2, (hidden)'!AD52</f>
        <v>#N/A</v>
      </c>
      <c r="M51" s="36" t="e">
        <f>'Solution 1, (hidden)'!AB52</f>
        <v>#N/A</v>
      </c>
      <c r="N51" s="36" t="e">
        <f>'Solution  2, (hidden)'!AB52</f>
        <v>#N/A</v>
      </c>
    </row>
    <row r="52" spans="8:14">
      <c r="H52" t="str">
        <f>'Solution 1, (hidden)'!B53</f>
        <v xml:space="preserve"> </v>
      </c>
      <c r="I52" t="str">
        <f>'Solution  2, (hidden)'!B53</f>
        <v xml:space="preserve"> </v>
      </c>
      <c r="J52" t="str">
        <f>IF('2. Inputs and results'!$C$23&gt;='2. Inputs and results'!$B$23,'Solution  2, (hidden)'!B53,'Solution 1, (hidden)'!B53)</f>
        <v xml:space="preserve"> </v>
      </c>
      <c r="K52" s="36" t="e">
        <f>'Solution 1, (hidden)'!AD53</f>
        <v>#N/A</v>
      </c>
      <c r="L52" s="36" t="e">
        <f>'Solution  2, (hidden)'!AD53</f>
        <v>#N/A</v>
      </c>
      <c r="M52" s="36" t="e">
        <f>'Solution 1, (hidden)'!AB53</f>
        <v>#N/A</v>
      </c>
      <c r="N52" s="36" t="e">
        <f>'Solution  2, (hidden)'!AB53</f>
        <v>#N/A</v>
      </c>
    </row>
    <row r="53" spans="8:14">
      <c r="H53" t="str">
        <f>'Solution 1, (hidden)'!B54</f>
        <v xml:space="preserve"> </v>
      </c>
      <c r="I53" t="str">
        <f>'Solution  2, (hidden)'!B54</f>
        <v xml:space="preserve"> </v>
      </c>
      <c r="J53" t="str">
        <f>IF('2. Inputs and results'!$C$23&gt;='2. Inputs and results'!$B$23,'Solution  2, (hidden)'!B54,'Solution 1, (hidden)'!B54)</f>
        <v xml:space="preserve"> </v>
      </c>
      <c r="K53" s="36" t="e">
        <f>'Solution 1, (hidden)'!AD54</f>
        <v>#N/A</v>
      </c>
      <c r="L53" s="36" t="e">
        <f>'Solution  2, (hidden)'!AD54</f>
        <v>#N/A</v>
      </c>
      <c r="M53" s="36" t="e">
        <f>'Solution 1, (hidden)'!AB54</f>
        <v>#N/A</v>
      </c>
      <c r="N53" s="36" t="e">
        <f>'Solution  2, (hidden)'!AB54</f>
        <v>#N/A</v>
      </c>
    </row>
    <row r="54" spans="8:14">
      <c r="H54" t="str">
        <f>'Solution 1, (hidden)'!B55</f>
        <v xml:space="preserve"> </v>
      </c>
      <c r="I54" t="str">
        <f>'Solution  2, (hidden)'!B55</f>
        <v xml:space="preserve"> </v>
      </c>
      <c r="J54" t="str">
        <f>IF('2. Inputs and results'!$C$23&gt;='2. Inputs and results'!$B$23,'Solution  2, (hidden)'!B55,'Solution 1, (hidden)'!B55)</f>
        <v xml:space="preserve"> </v>
      </c>
      <c r="K54" s="36" t="e">
        <f>'Solution 1, (hidden)'!AD55</f>
        <v>#N/A</v>
      </c>
      <c r="L54" s="36" t="e">
        <f>'Solution  2, (hidden)'!AD55</f>
        <v>#N/A</v>
      </c>
      <c r="M54" s="36" t="e">
        <f>'Solution 1, (hidden)'!AB55</f>
        <v>#N/A</v>
      </c>
      <c r="N54" s="36" t="e">
        <f>'Solution  2, (hidden)'!AB55</f>
        <v>#N/A</v>
      </c>
    </row>
  </sheetData>
  <conditionalFormatting sqref="N4">
    <cfRule type="containsErrors" dxfId="12" priority="4">
      <formula>ISERROR(N4)</formula>
    </cfRule>
  </conditionalFormatting>
  <conditionalFormatting sqref="I4:I54">
    <cfRule type="containsErrors" dxfId="11" priority="2">
      <formula>ISERROR(I4)</formula>
    </cfRule>
    <cfRule type="containsErrors" dxfId="10" priority="1">
      <formula>ISERROR(I4)</formula>
    </cfRule>
  </conditionalFormatting>
  <conditionalFormatting sqref="J2:N54">
    <cfRule type="containsErrors" dxfId="9" priority="3">
      <formula>ISERROR(J2)</formula>
    </cfRule>
  </conditionalFormatting>
  <pageMargins left="0.7" right="0.7" top="0.75" bottom="0.75" header="0.3" footer="0.3"/>
  <pageSetup paperSize="9" scale="63"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ul13">
    <pageSetUpPr fitToPage="1"/>
  </sheetPr>
  <dimension ref="A1:M71"/>
  <sheetViews>
    <sheetView workbookViewId="0">
      <selection activeCell="G4" sqref="G4"/>
    </sheetView>
  </sheetViews>
  <sheetFormatPr defaultColWidth="9" defaultRowHeight="15"/>
  <cols>
    <col min="1" max="1" width="37.28515625" customWidth="1"/>
    <col min="2" max="2" width="37.140625" customWidth="1"/>
    <col min="3" max="3" width="13.85546875" customWidth="1"/>
    <col min="4" max="4" width="13.140625" customWidth="1"/>
    <col min="5" max="5" width="7.28515625" customWidth="1"/>
    <col min="6" max="6" width="36.140625" customWidth="1"/>
    <col min="7" max="7" width="32" customWidth="1"/>
    <col min="8" max="8" width="34.5703125" customWidth="1"/>
    <col min="9" max="9" width="32" customWidth="1"/>
    <col min="10" max="10" width="36.28515625" customWidth="1"/>
    <col min="11" max="11" width="42.85546875" customWidth="1"/>
    <col min="12" max="13" width="40.7109375" customWidth="1"/>
  </cols>
  <sheetData>
    <row r="1" spans="1:13" ht="78.75" customHeight="1"/>
    <row r="2" spans="1:13">
      <c r="A2" s="22" t="s">
        <v>93</v>
      </c>
      <c r="B2" s="23" t="str">
        <f>'2. Inputs and results'!B5</f>
        <v>Building</v>
      </c>
    </row>
    <row r="3" spans="1:13">
      <c r="A3" s="24"/>
      <c r="B3" s="25"/>
    </row>
    <row r="4" spans="1:13">
      <c r="A4" s="24" t="s">
        <v>95</v>
      </c>
      <c r="B4" s="26" t="str">
        <f>'2. Inputs and results'!B6</f>
        <v>Housing/ Residential building</v>
      </c>
    </row>
    <row r="5" spans="1:13">
      <c r="A5" s="24"/>
      <c r="B5" s="25"/>
    </row>
    <row r="6" spans="1:13">
      <c r="A6" s="24" t="s">
        <v>97</v>
      </c>
      <c r="B6" s="26" t="str">
        <f>'2. Inputs and results'!B8</f>
        <v>District heating</v>
      </c>
    </row>
    <row r="7" spans="1:13">
      <c r="A7" s="24" t="s">
        <v>99</v>
      </c>
      <c r="B7" s="26" t="str">
        <f>'2. Inputs and results'!B9</f>
        <v>Other</v>
      </c>
    </row>
    <row r="8" spans="1:13">
      <c r="A8" s="27" t="s">
        <v>101</v>
      </c>
      <c r="B8" s="28" t="str">
        <f>'2. Inputs and results'!B10</f>
        <v>None</v>
      </c>
    </row>
    <row r="9" spans="1:13">
      <c r="F9" t="s">
        <v>217</v>
      </c>
      <c r="G9" t="s">
        <v>218</v>
      </c>
      <c r="H9" t="s">
        <v>219</v>
      </c>
      <c r="I9" t="s">
        <v>220</v>
      </c>
      <c r="J9" t="s">
        <v>221</v>
      </c>
      <c r="K9" t="s">
        <v>222</v>
      </c>
      <c r="L9" t="s">
        <v>221</v>
      </c>
      <c r="M9" t="s">
        <v>222</v>
      </c>
    </row>
    <row r="10" spans="1:13">
      <c r="F10" s="29" t="s">
        <v>223</v>
      </c>
      <c r="G10" s="29" t="s">
        <v>223</v>
      </c>
      <c r="H10" s="29" t="s">
        <v>224</v>
      </c>
      <c r="I10" s="29" t="s">
        <v>224</v>
      </c>
      <c r="J10" s="29" t="s">
        <v>225</v>
      </c>
      <c r="K10" s="29" t="s">
        <v>225</v>
      </c>
      <c r="L10" s="29" t="s">
        <v>226</v>
      </c>
      <c r="M10" s="29" t="s">
        <v>226</v>
      </c>
    </row>
    <row r="11" spans="1:13">
      <c r="F11" s="29" t="s">
        <v>227</v>
      </c>
      <c r="G11" s="29" t="s">
        <v>227</v>
      </c>
      <c r="H11" s="29"/>
      <c r="I11" s="29"/>
    </row>
    <row r="12" spans="1:13">
      <c r="C12" s="29" t="s">
        <v>228</v>
      </c>
      <c r="D12" s="29" t="s">
        <v>229</v>
      </c>
      <c r="E12" s="29" t="s">
        <v>209</v>
      </c>
      <c r="J12" s="29"/>
      <c r="K12" s="29"/>
    </row>
    <row r="13" spans="1:13">
      <c r="F13" s="29" t="str">
        <f>'2. Inputs and results'!B19</f>
        <v>One measure</v>
      </c>
      <c r="G13" s="29" t="str">
        <f>'2. Inputs and results'!C19</f>
        <v>Group procurement of the measure</v>
      </c>
      <c r="H13" s="29" t="str">
        <f>'2. Inputs and results'!B19</f>
        <v>One measure</v>
      </c>
      <c r="I13" s="29" t="str">
        <f>'2. Inputs and results'!C19</f>
        <v>Group procurement of the measure</v>
      </c>
      <c r="J13" s="29" t="str">
        <f>'2. Inputs and results'!B19</f>
        <v>One measure</v>
      </c>
      <c r="K13" s="29" t="str">
        <f>'2. Inputs and results'!C19</f>
        <v>Group procurement of the measure</v>
      </c>
      <c r="L13" s="29" t="str">
        <f>'2. Inputs and results'!B19</f>
        <v>One measure</v>
      </c>
      <c r="M13" s="29" t="str">
        <f>'2. Inputs and results'!C19</f>
        <v>Group procurement of the measure</v>
      </c>
    </row>
    <row r="14" spans="1:13">
      <c r="C14">
        <f>'Solution 1, (hidden)'!B5</f>
        <v>0</v>
      </c>
      <c r="D14">
        <f>'Solution  2, (hidden)'!B5</f>
        <v>0</v>
      </c>
      <c r="E14">
        <f>IF('2. Inputs and results'!$C$23&gt;='2. Inputs and results'!$B$23,'Solution  2, (hidden)'!B5,'Solution 1, (hidden)'!B5)</f>
        <v>0</v>
      </c>
      <c r="F14" s="31">
        <f>'Solution 1, (hidden)'!L5</f>
        <v>156400</v>
      </c>
      <c r="G14" s="31">
        <f>'Solution  2, (hidden)'!L5</f>
        <v>595000</v>
      </c>
      <c r="H14" s="31">
        <f>'Solution 1, (hidden)'!D5</f>
        <v>0</v>
      </c>
      <c r="I14" s="31">
        <f>'Solution  2, (hidden)'!D5</f>
        <v>0</v>
      </c>
      <c r="J14" s="31">
        <f>'Solution 1, (hidden)'!K5</f>
        <v>0</v>
      </c>
      <c r="K14" s="31">
        <f>'Solution  2, (hidden)'!K5</f>
        <v>0</v>
      </c>
      <c r="L14" s="31">
        <f>'Solution 1, (hidden) (2)'!K5</f>
        <v>0</v>
      </c>
      <c r="M14" s="31">
        <f>'Solution  2, (hidden) (2)'!K5</f>
        <v>0</v>
      </c>
    </row>
    <row r="15" spans="1:13">
      <c r="C15">
        <f>'Solution 1, (hidden)'!B6</f>
        <v>1</v>
      </c>
      <c r="D15">
        <f>'Solution  2, (hidden)'!B6</f>
        <v>1</v>
      </c>
      <c r="E15">
        <f>IF('2. Inputs and results'!$C$23&gt;='2. Inputs and results'!$B$23,'Solution  2, (hidden)'!B6,'Solution 1, (hidden)'!B6)</f>
        <v>1</v>
      </c>
      <c r="F15" s="32">
        <f>'Solution 1, (hidden)'!L6</f>
        <v>156400</v>
      </c>
      <c r="G15" s="32">
        <f>'Solution  2, (hidden)'!L6</f>
        <v>595000</v>
      </c>
      <c r="H15" s="31">
        <f>'Solution 1, (hidden)'!D6</f>
        <v>11460</v>
      </c>
      <c r="I15" s="31">
        <f>'Solution  2, (hidden)'!D6</f>
        <v>57300</v>
      </c>
      <c r="J15" s="31">
        <f>'Solution 1, (hidden)'!K6</f>
        <v>11460</v>
      </c>
      <c r="K15" s="31">
        <f>'Solution  2, (hidden)'!K6</f>
        <v>57300</v>
      </c>
      <c r="L15" s="31">
        <f>'Solution 1, (hidden) (2)'!K6</f>
        <v>11460</v>
      </c>
      <c r="M15" s="31">
        <f>'Solution  2, (hidden) (2)'!K6</f>
        <v>57300</v>
      </c>
    </row>
    <row r="16" spans="1:13">
      <c r="C16">
        <f>'Solution 1, (hidden)'!B7</f>
        <v>2</v>
      </c>
      <c r="D16">
        <f>'Solution  2, (hidden)'!B7</f>
        <v>2</v>
      </c>
      <c r="E16">
        <f>IF('2. Inputs and results'!$C$23&gt;='2. Inputs and results'!$B$23,'Solution  2, (hidden)'!B7,'Solution 1, (hidden)'!B7)</f>
        <v>2</v>
      </c>
      <c r="F16" s="32">
        <f>'Solution 1, (hidden)'!L7</f>
        <v>156400</v>
      </c>
      <c r="G16" s="32">
        <f>'Solution  2, (hidden)'!L7</f>
        <v>595000</v>
      </c>
      <c r="H16" s="31">
        <f>'Solution 1, (hidden)'!D7</f>
        <v>22920</v>
      </c>
      <c r="I16" s="31">
        <f>'Solution  2, (hidden)'!D7</f>
        <v>114600</v>
      </c>
      <c r="J16" s="31">
        <f>'Solution 1, (hidden)'!K7</f>
        <v>23263.8</v>
      </c>
      <c r="K16" s="31">
        <f>'Solution  2, (hidden)'!K7</f>
        <v>116319</v>
      </c>
      <c r="L16" s="31">
        <f>'Solution 1, (hidden) (2)'!K7</f>
        <v>23607.599999999999</v>
      </c>
      <c r="M16" s="31">
        <f>'Solution  2, (hidden) (2)'!K7</f>
        <v>118038</v>
      </c>
    </row>
    <row r="17" spans="3:13">
      <c r="C17">
        <f>'Solution 1, (hidden)'!B8</f>
        <v>3</v>
      </c>
      <c r="D17">
        <f>'Solution  2, (hidden)'!B8</f>
        <v>3</v>
      </c>
      <c r="E17">
        <f>IF('2. Inputs and results'!$C$23&gt;='2. Inputs and results'!$B$23,'Solution  2, (hidden)'!B8,'Solution 1, (hidden)'!B8)</f>
        <v>3</v>
      </c>
      <c r="F17" s="32">
        <f>'Solution 1, (hidden)'!L8</f>
        <v>156400</v>
      </c>
      <c r="G17" s="32">
        <f>'Solution  2, (hidden)'!L8</f>
        <v>595000</v>
      </c>
      <c r="H17" s="31">
        <f>'Solution 1, (hidden)'!D8</f>
        <v>34380</v>
      </c>
      <c r="I17" s="31">
        <f>'Solution  2, (hidden)'!D8</f>
        <v>171900</v>
      </c>
      <c r="J17" s="31">
        <f>'Solution 1, (hidden)'!K8</f>
        <v>35421.714</v>
      </c>
      <c r="K17" s="31">
        <f>'Solution  2, (hidden)'!K8</f>
        <v>177108.57</v>
      </c>
      <c r="L17" s="31">
        <f>'Solution 1, (hidden) (2)'!K8</f>
        <v>36484.055999999997</v>
      </c>
      <c r="M17" s="31">
        <f>'Solution  2, (hidden) (2)'!K8</f>
        <v>182420.28</v>
      </c>
    </row>
    <row r="18" spans="3:13">
      <c r="C18">
        <f>'Solution 1, (hidden)'!B9</f>
        <v>4</v>
      </c>
      <c r="D18">
        <f>'Solution  2, (hidden)'!B9</f>
        <v>4</v>
      </c>
      <c r="E18">
        <f>IF('2. Inputs and results'!$C$23&gt;='2. Inputs and results'!$B$23,'Solution  2, (hidden)'!B9,'Solution 1, (hidden)'!B9)</f>
        <v>4</v>
      </c>
      <c r="F18" s="32">
        <f>'Solution 1, (hidden)'!L9</f>
        <v>156400</v>
      </c>
      <c r="G18" s="32">
        <f>'Solution  2, (hidden)'!L9</f>
        <v>595000</v>
      </c>
      <c r="H18" s="31">
        <f>'Solution 1, (hidden)'!D9</f>
        <v>45840</v>
      </c>
      <c r="I18" s="31">
        <f>'Solution  2, (hidden)'!D9</f>
        <v>229200</v>
      </c>
      <c r="J18" s="31">
        <f>'Solution 1, (hidden)'!K9</f>
        <v>47944.365420000002</v>
      </c>
      <c r="K18" s="31">
        <f>'Solution  2, (hidden)'!K9</f>
        <v>239721.82709999999</v>
      </c>
      <c r="L18" s="31">
        <f>'Solution 1, (hidden) (2)'!K9</f>
        <v>50133.09936</v>
      </c>
      <c r="M18" s="31">
        <f>'Solution  2, (hidden) (2)'!K9</f>
        <v>250665.49680000002</v>
      </c>
    </row>
    <row r="19" spans="3:13">
      <c r="C19">
        <f>'Solution 1, (hidden)'!B10</f>
        <v>5</v>
      </c>
      <c r="D19">
        <f>'Solution  2, (hidden)'!B10</f>
        <v>5</v>
      </c>
      <c r="E19">
        <f>IF('2. Inputs and results'!$C$23&gt;='2. Inputs and results'!$B$23,'Solution  2, (hidden)'!B10,'Solution 1, (hidden)'!B10)</f>
        <v>5</v>
      </c>
      <c r="F19" s="32">
        <f>'Solution 1, (hidden)'!L10</f>
        <v>156400</v>
      </c>
      <c r="G19" s="32">
        <f>'Solution  2, (hidden)'!L10</f>
        <v>595000</v>
      </c>
      <c r="H19" s="31">
        <f>'Solution 1, (hidden)'!D10</f>
        <v>57300</v>
      </c>
      <c r="I19" s="31">
        <f>'Solution  2, (hidden)'!D10</f>
        <v>286500</v>
      </c>
      <c r="J19" s="31">
        <f>'Solution 1, (hidden)'!K10</f>
        <v>60842.696382600006</v>
      </c>
      <c r="K19" s="31">
        <f>'Solution  2, (hidden)'!K10</f>
        <v>304213.481913</v>
      </c>
      <c r="L19" s="31">
        <f>'Solution 1, (hidden) (2)'!K10</f>
        <v>64601.085321600003</v>
      </c>
      <c r="M19" s="31">
        <f>'Solution  2, (hidden) (2)'!K10</f>
        <v>323005.42660800007</v>
      </c>
    </row>
    <row r="20" spans="3:13">
      <c r="C20">
        <f>'Solution 1, (hidden)'!B11</f>
        <v>6</v>
      </c>
      <c r="D20">
        <f>'Solution  2, (hidden)'!B11</f>
        <v>6</v>
      </c>
      <c r="E20">
        <f>IF('2. Inputs and results'!$C$23&gt;='2. Inputs and results'!$B$23,'Solution  2, (hidden)'!B11,'Solution 1, (hidden)'!B11)</f>
        <v>6</v>
      </c>
      <c r="F20" s="32">
        <f>'Solution 1, (hidden)'!L11</f>
        <v>156400</v>
      </c>
      <c r="G20" s="32">
        <f>'Solution  2, (hidden)'!L11</f>
        <v>595000</v>
      </c>
      <c r="H20" s="31">
        <f>'Solution 1, (hidden)'!D11</f>
        <v>68760</v>
      </c>
      <c r="I20" s="31">
        <f>'Solution  2, (hidden)'!D11</f>
        <v>343800</v>
      </c>
      <c r="J20" s="31">
        <f>'Solution 1, (hidden)'!K11</f>
        <v>74127.977274078003</v>
      </c>
      <c r="K20" s="31">
        <f>'Solution  2, (hidden)'!K11</f>
        <v>370639.88637039001</v>
      </c>
      <c r="L20" s="31">
        <f>'Solution 1, (hidden) (2)'!K11</f>
        <v>79937.150440896003</v>
      </c>
      <c r="M20" s="31">
        <f>'Solution  2, (hidden) (2)'!K11</f>
        <v>399685.75220448012</v>
      </c>
    </row>
    <row r="21" spans="3:13">
      <c r="C21">
        <f>'Solution 1, (hidden)'!B12</f>
        <v>7</v>
      </c>
      <c r="D21">
        <f>'Solution  2, (hidden)'!B12</f>
        <v>7</v>
      </c>
      <c r="E21">
        <f>IF('2. Inputs and results'!$C$23&gt;='2. Inputs and results'!$B$23,'Solution  2, (hidden)'!B12,'Solution 1, (hidden)'!B12)</f>
        <v>7</v>
      </c>
      <c r="F21" s="32">
        <f>'Solution 1, (hidden)'!L12</f>
        <v>156400</v>
      </c>
      <c r="G21" s="32">
        <f>'Solution  2, (hidden)'!L12</f>
        <v>595000</v>
      </c>
      <c r="H21" s="31">
        <f>'Solution 1, (hidden)'!D12</f>
        <v>80220</v>
      </c>
      <c r="I21" s="31">
        <f>'Solution  2, (hidden)'!D12</f>
        <v>401100</v>
      </c>
      <c r="J21" s="31">
        <f>'Solution 1, (hidden)'!K12</f>
        <v>87811.81659230034</v>
      </c>
      <c r="K21" s="31">
        <f>'Solution  2, (hidden)'!K12</f>
        <v>439059.08296150173</v>
      </c>
      <c r="L21" s="31">
        <f>'Solution 1, (hidden) (2)'!K12</f>
        <v>96193.379467349761</v>
      </c>
      <c r="M21" s="31">
        <f>'Solution  2, (hidden) (2)'!K12</f>
        <v>480966.89733674895</v>
      </c>
    </row>
    <row r="22" spans="3:13">
      <c r="C22">
        <f>'Solution 1, (hidden)'!B13</f>
        <v>8</v>
      </c>
      <c r="D22">
        <f>'Solution  2, (hidden)'!B13</f>
        <v>8</v>
      </c>
      <c r="E22">
        <f>IF('2. Inputs and results'!$C$23&gt;='2. Inputs and results'!$B$23,'Solution  2, (hidden)'!B13,'Solution 1, (hidden)'!B13)</f>
        <v>8</v>
      </c>
      <c r="F22" s="32">
        <f>'Solution 1, (hidden)'!L13</f>
        <v>156400</v>
      </c>
      <c r="G22" s="32">
        <f>'Solution  2, (hidden)'!L13</f>
        <v>595000</v>
      </c>
      <c r="H22" s="31">
        <f>'Solution 1, (hidden)'!D13</f>
        <v>91680</v>
      </c>
      <c r="I22" s="31">
        <f>'Solution  2, (hidden)'!D13</f>
        <v>458400</v>
      </c>
      <c r="J22" s="31">
        <f>'Solution 1, (hidden)'!K13</f>
        <v>101906.17109006936</v>
      </c>
      <c r="K22" s="31">
        <f>'Solution  2, (hidden)'!K13</f>
        <v>509530.85545034683</v>
      </c>
      <c r="L22" s="31">
        <f>'Solution 1, (hidden) (2)'!K13</f>
        <v>113424.98223539075</v>
      </c>
      <c r="M22" s="31">
        <f>'Solution  2, (hidden) (2)'!K13</f>
        <v>567124.91117695393</v>
      </c>
    </row>
    <row r="23" spans="3:13">
      <c r="C23">
        <f>'Solution 1, (hidden)'!B14</f>
        <v>9</v>
      </c>
      <c r="D23">
        <f>'Solution  2, (hidden)'!B14</f>
        <v>9</v>
      </c>
      <c r="E23">
        <f>IF('2. Inputs and results'!$C$23&gt;='2. Inputs and results'!$B$23,'Solution  2, (hidden)'!B14,'Solution 1, (hidden)'!B14)</f>
        <v>9</v>
      </c>
      <c r="F23" s="32">
        <f>'Solution 1, (hidden)'!L14</f>
        <v>156400</v>
      </c>
      <c r="G23" s="32">
        <f>'Solution  2, (hidden)'!L14</f>
        <v>595000</v>
      </c>
      <c r="H23" s="31">
        <f>'Solution 1, (hidden)'!D14</f>
        <v>103140</v>
      </c>
      <c r="I23" s="31">
        <f>'Solution  2, (hidden)'!D14</f>
        <v>515700</v>
      </c>
      <c r="J23" s="31">
        <f>'Solution 1, (hidden)'!K14</f>
        <v>116423.35622277144</v>
      </c>
      <c r="K23" s="31">
        <f>'Solution  2, (hidden)'!K14</f>
        <v>582116.78111385729</v>
      </c>
      <c r="L23" s="31">
        <f>'Solution 1, (hidden) (2)'!K14</f>
        <v>131690.48116951418</v>
      </c>
      <c r="M23" s="31">
        <f>'Solution  2, (hidden) (2)'!K14</f>
        <v>658452.40584757121</v>
      </c>
    </row>
    <row r="24" spans="3:13">
      <c r="C24">
        <f>'Solution 1, (hidden)'!B15</f>
        <v>10</v>
      </c>
      <c r="D24">
        <f>'Solution  2, (hidden)'!B15</f>
        <v>10</v>
      </c>
      <c r="E24">
        <f>IF('2. Inputs and results'!$C$23&gt;='2. Inputs and results'!$B$23,'Solution  2, (hidden)'!B15,'Solution 1, (hidden)'!B15)</f>
        <v>10</v>
      </c>
      <c r="F24" s="32">
        <f>'Solution 1, (hidden)'!L15</f>
        <v>156400</v>
      </c>
      <c r="G24" s="32">
        <f>'Solution  2, (hidden)'!L15</f>
        <v>595000</v>
      </c>
      <c r="H24" s="31">
        <f>'Solution 1, (hidden)'!D15</f>
        <v>114600</v>
      </c>
      <c r="I24" s="31">
        <f>'Solution  2, (hidden)'!D15</f>
        <v>573000</v>
      </c>
      <c r="J24" s="31">
        <f>'Solution 1, (hidden)'!K15</f>
        <v>131376.05690945458</v>
      </c>
      <c r="K24" s="31">
        <f>'Solution  2, (hidden)'!K15</f>
        <v>656880.28454727307</v>
      </c>
      <c r="L24" s="31">
        <f>'Solution 1, (hidden) (2)'!K15</f>
        <v>151051.91003968503</v>
      </c>
      <c r="M24" s="31">
        <f>'Solution  2, (hidden) (2)'!K15</f>
        <v>755259.55019842554</v>
      </c>
    </row>
    <row r="25" spans="3:13">
      <c r="C25">
        <f>'Solution 1, (hidden)'!B16</f>
        <v>11</v>
      </c>
      <c r="D25">
        <f>'Solution  2, (hidden)'!B16</f>
        <v>11</v>
      </c>
      <c r="E25">
        <f>IF('2. Inputs and results'!$C$23&gt;='2. Inputs and results'!$B$23,'Solution  2, (hidden)'!B16,'Solution 1, (hidden)'!B16)</f>
        <v>11</v>
      </c>
      <c r="F25" s="32">
        <f>'Solution 1, (hidden)'!L16</f>
        <v>156400</v>
      </c>
      <c r="G25" s="32">
        <f>'Solution  2, (hidden)'!L16</f>
        <v>595000</v>
      </c>
      <c r="H25" s="31">
        <f>'Solution 1, (hidden)'!D16</f>
        <v>126060</v>
      </c>
      <c r="I25" s="31">
        <f>'Solution  2, (hidden)'!D16</f>
        <v>630300</v>
      </c>
      <c r="J25" s="31">
        <f>'Solution 1, (hidden)'!K16</f>
        <v>146777.33861673821</v>
      </c>
      <c r="K25" s="31">
        <f>'Solution  2, (hidden)'!K16</f>
        <v>733886.69308369129</v>
      </c>
      <c r="L25" s="31">
        <f>'Solution 1, (hidden) (2)'!K16</f>
        <v>171575.02464206613</v>
      </c>
      <c r="M25" s="31">
        <f>'Solution  2, (hidden) (2)'!K16</f>
        <v>857875.12321033108</v>
      </c>
    </row>
    <row r="26" spans="3:13">
      <c r="C26">
        <f>'Solution 1, (hidden)'!B17</f>
        <v>12</v>
      </c>
      <c r="D26">
        <f>'Solution  2, (hidden)'!B17</f>
        <v>12</v>
      </c>
      <c r="E26">
        <f>IF('2. Inputs and results'!$C$23&gt;='2. Inputs and results'!$B$23,'Solution  2, (hidden)'!B17,'Solution 1, (hidden)'!B17)</f>
        <v>12</v>
      </c>
      <c r="F26" s="32">
        <f>'Solution 1, (hidden)'!L17</f>
        <v>156400</v>
      </c>
      <c r="G26" s="32">
        <f>'Solution  2, (hidden)'!L17</f>
        <v>595000</v>
      </c>
      <c r="H26" s="31">
        <f>'Solution 1, (hidden)'!D17</f>
        <v>137520</v>
      </c>
      <c r="I26" s="31">
        <f>'Solution  2, (hidden)'!D17</f>
        <v>687600</v>
      </c>
      <c r="J26" s="31">
        <f>'Solution 1, (hidden)'!K17</f>
        <v>162640.65877524036</v>
      </c>
      <c r="K26" s="31">
        <f>'Solution  2, (hidden)'!K17</f>
        <v>813203.29387620208</v>
      </c>
      <c r="L26" s="31">
        <f>'Solution 1, (hidden) (2)'!K17</f>
        <v>193329.5261205901</v>
      </c>
      <c r="M26" s="31">
        <f>'Solution  2, (hidden) (2)'!K17</f>
        <v>966647.63060295105</v>
      </c>
    </row>
    <row r="27" spans="3:13">
      <c r="C27">
        <f>'Solution 1, (hidden)'!B18</f>
        <v>13</v>
      </c>
      <c r="D27">
        <f>'Solution  2, (hidden)'!B18</f>
        <v>13</v>
      </c>
      <c r="E27">
        <f>IF('2. Inputs and results'!$C$23&gt;='2. Inputs and results'!$B$23,'Solution  2, (hidden)'!B18,'Solution 1, (hidden)'!B18)</f>
        <v>13</v>
      </c>
      <c r="F27" s="32">
        <f>'Solution 1, (hidden)'!L18</f>
        <v>156400</v>
      </c>
      <c r="G27" s="32">
        <f>'Solution  2, (hidden)'!L18</f>
        <v>595000</v>
      </c>
      <c r="H27" s="31">
        <f>'Solution 1, (hidden)'!D18</f>
        <v>148980</v>
      </c>
      <c r="I27" s="31">
        <f>'Solution  2, (hidden)'!D18</f>
        <v>744900</v>
      </c>
      <c r="J27" s="31">
        <f>'Solution 1, (hidden)'!K18</f>
        <v>178979.87853849758</v>
      </c>
      <c r="K27" s="31">
        <f>'Solution  2, (hidden)'!K18</f>
        <v>894899.39269248815</v>
      </c>
      <c r="L27" s="31">
        <f>'Solution 1, (hidden) (2)'!K18</f>
        <v>216389.29768782551</v>
      </c>
      <c r="M27" s="31">
        <f>'Solution  2, (hidden) (2)'!K18</f>
        <v>1081946.4884391283</v>
      </c>
    </row>
    <row r="28" spans="3:13">
      <c r="C28">
        <f>'Solution 1, (hidden)'!B19</f>
        <v>14</v>
      </c>
      <c r="D28">
        <f>'Solution  2, (hidden)'!B19</f>
        <v>14</v>
      </c>
      <c r="E28">
        <f>IF('2. Inputs and results'!$C$23&gt;='2. Inputs and results'!$B$23,'Solution  2, (hidden)'!B19,'Solution 1, (hidden)'!B19)</f>
        <v>14</v>
      </c>
      <c r="F28" s="32">
        <f>'Solution 1, (hidden)'!L19</f>
        <v>156400</v>
      </c>
      <c r="G28" s="32">
        <f>'Solution  2, (hidden)'!L19</f>
        <v>595000</v>
      </c>
      <c r="H28" s="31">
        <f>'Solution 1, (hidden)'!D19</f>
        <v>160440</v>
      </c>
      <c r="I28" s="31">
        <f>'Solution  2, (hidden)'!D19</f>
        <v>802200</v>
      </c>
      <c r="J28" s="31">
        <f>'Solution 1, (hidden)'!K19</f>
        <v>195809.27489465251</v>
      </c>
      <c r="K28" s="31">
        <f>'Solution  2, (hidden)'!K19</f>
        <v>979046.37447326281</v>
      </c>
      <c r="L28" s="31">
        <f>'Solution 1, (hidden) (2)'!K19</f>
        <v>240832.65554909504</v>
      </c>
      <c r="M28" s="31">
        <f>'Solution  2, (hidden) (2)'!K19</f>
        <v>1204163.277745476</v>
      </c>
    </row>
    <row r="29" spans="3:13">
      <c r="C29">
        <f>'Solution 1, (hidden)'!B20</f>
        <v>15</v>
      </c>
      <c r="D29">
        <f>'Solution  2, (hidden)'!B20</f>
        <v>15</v>
      </c>
      <c r="E29">
        <f>IF('2. Inputs and results'!$C$23&gt;='2. Inputs and results'!$B$23,'Solution  2, (hidden)'!B20,'Solution 1, (hidden)'!B20)</f>
        <v>15</v>
      </c>
      <c r="F29" s="32">
        <f>'Solution 1, (hidden)'!L20</f>
        <v>156400</v>
      </c>
      <c r="G29" s="32">
        <f>'Solution  2, (hidden)'!L20</f>
        <v>595000</v>
      </c>
      <c r="H29" s="31">
        <f>'Solution 1, (hidden)'!D20</f>
        <v>171900</v>
      </c>
      <c r="I29" s="31">
        <f>'Solution  2, (hidden)'!D20</f>
        <v>859500</v>
      </c>
      <c r="J29" s="31">
        <f>'Solution 1, (hidden)'!K20</f>
        <v>213143.5531414921</v>
      </c>
      <c r="K29" s="31">
        <f>'Solution  2, (hidden)'!K20</f>
        <v>1065717.7657074607</v>
      </c>
      <c r="L29" s="31">
        <f>'Solution 1, (hidden) (2)'!K20</f>
        <v>266742.61488204077</v>
      </c>
      <c r="M29" s="31">
        <f>'Solution  2, (hidden) (2)'!K20</f>
        <v>1333713.0744102045</v>
      </c>
    </row>
    <row r="30" spans="3:13">
      <c r="C30">
        <f>'Solution 1, (hidden)'!B21</f>
        <v>16</v>
      </c>
      <c r="D30">
        <f>'Solution  2, (hidden)'!B21</f>
        <v>16</v>
      </c>
      <c r="E30">
        <f>IF('2. Inputs and results'!$C$23&gt;='2. Inputs and results'!$B$23,'Solution  2, (hidden)'!B21,'Solution 1, (hidden)'!B21)</f>
        <v>16</v>
      </c>
      <c r="F30" s="32">
        <f>'Solution 1, (hidden)'!L21</f>
        <v>156400</v>
      </c>
      <c r="G30" s="32">
        <f>'Solution  2, (hidden)'!L21</f>
        <v>595000</v>
      </c>
      <c r="H30" s="31">
        <f>'Solution 1, (hidden)'!D21</f>
        <v>183360</v>
      </c>
      <c r="I30" s="31">
        <f>'Solution  2, (hidden)'!D21</f>
        <v>916800</v>
      </c>
      <c r="J30" s="31">
        <f>'Solution 1, (hidden)'!K21</f>
        <v>230997.85973573686</v>
      </c>
      <c r="K30" s="31">
        <f>'Solution  2, (hidden)'!K21</f>
        <v>1154989.2986786845</v>
      </c>
      <c r="L30" s="31">
        <f>'Solution 1, (hidden) (2)'!K21</f>
        <v>294207.17177496321</v>
      </c>
      <c r="M30" s="31">
        <f>'Solution  2, (hidden) (2)'!K21</f>
        <v>1471035.8588748169</v>
      </c>
    </row>
    <row r="31" spans="3:13">
      <c r="C31">
        <f>'Solution 1, (hidden)'!B22</f>
        <v>17</v>
      </c>
      <c r="D31">
        <f>'Solution  2, (hidden)'!B22</f>
        <v>17</v>
      </c>
      <c r="E31">
        <f>IF('2. Inputs and results'!$C$23&gt;='2. Inputs and results'!$B$23,'Solution  2, (hidden)'!B22,'Solution 1, (hidden)'!B22)</f>
        <v>17</v>
      </c>
      <c r="F31" s="32">
        <f>'Solution 1, (hidden)'!L22</f>
        <v>156400</v>
      </c>
      <c r="G31" s="32">
        <f>'Solution  2, (hidden)'!L22</f>
        <v>595000</v>
      </c>
      <c r="H31" s="31">
        <f>'Solution 1, (hidden)'!D22</f>
        <v>194820</v>
      </c>
      <c r="I31" s="31">
        <f>'Solution  2, (hidden)'!D22</f>
        <v>974100</v>
      </c>
      <c r="J31" s="31">
        <f>'Solution 1, (hidden)'!K22</f>
        <v>249387.79552780898</v>
      </c>
      <c r="K31" s="31">
        <f>'Solution  2, (hidden)'!K22</f>
        <v>1246938.9776390451</v>
      </c>
      <c r="L31" s="31">
        <f>'Solution 1, (hidden) (2)'!K22</f>
        <v>323319.60208146099</v>
      </c>
      <c r="M31" s="31">
        <f>'Solution  2, (hidden) (2)'!K22</f>
        <v>1616598.010407306</v>
      </c>
    </row>
    <row r="32" spans="3:13">
      <c r="C32">
        <f>'Solution 1, (hidden)'!B23</f>
        <v>18</v>
      </c>
      <c r="D32">
        <f>'Solution  2, (hidden)'!B23</f>
        <v>18</v>
      </c>
      <c r="E32">
        <f>IF('2. Inputs and results'!$C$23&gt;='2. Inputs and results'!$B$23,'Solution  2, (hidden)'!B23,'Solution 1, (hidden)'!B23)</f>
        <v>18</v>
      </c>
      <c r="F32" s="32">
        <f>'Solution 1, (hidden)'!L23</f>
        <v>156400</v>
      </c>
      <c r="G32" s="32">
        <f>'Solution  2, (hidden)'!L23</f>
        <v>595000</v>
      </c>
      <c r="H32" s="31">
        <f>'Solution 1, (hidden)'!D23</f>
        <v>206280</v>
      </c>
      <c r="I32" s="31">
        <f>'Solution  2, (hidden)'!D23</f>
        <v>1031400</v>
      </c>
      <c r="J32" s="31">
        <f>'Solution 1, (hidden)'!K23</f>
        <v>268329.42939364328</v>
      </c>
      <c r="K32" s="31">
        <f>'Solution  2, (hidden)'!K23</f>
        <v>1341647.1469682164</v>
      </c>
      <c r="L32" s="31">
        <f>'Solution 1, (hidden) (2)'!K23</f>
        <v>354178.77820634865</v>
      </c>
      <c r="M32" s="31">
        <f>'Solution  2, (hidden) (2)'!K23</f>
        <v>1770893.8910317444</v>
      </c>
    </row>
    <row r="33" spans="3:13">
      <c r="C33">
        <f>'Solution 1, (hidden)'!B24</f>
        <v>19</v>
      </c>
      <c r="D33">
        <f>'Solution  2, (hidden)'!B24</f>
        <v>19</v>
      </c>
      <c r="E33">
        <f>IF('2. Inputs and results'!$C$23&gt;='2. Inputs and results'!$B$23,'Solution  2, (hidden)'!B24,'Solution 1, (hidden)'!B24)</f>
        <v>19</v>
      </c>
      <c r="F33" s="32">
        <f>'Solution 1, (hidden)'!L24</f>
        <v>156400</v>
      </c>
      <c r="G33" s="32">
        <f>'Solution  2, (hidden)'!L24</f>
        <v>595000</v>
      </c>
      <c r="H33" s="31">
        <f>'Solution 1, (hidden)'!D24</f>
        <v>217740</v>
      </c>
      <c r="I33" s="31">
        <f>'Solution  2, (hidden)'!D24</f>
        <v>1088700</v>
      </c>
      <c r="J33" s="31">
        <f>'Solution 1, (hidden)'!K24</f>
        <v>287839.3122754526</v>
      </c>
      <c r="K33" s="31">
        <f>'Solution  2, (hidden)'!K24</f>
        <v>1439196.5613772629</v>
      </c>
      <c r="L33" s="31">
        <f>'Solution 1, (hidden) (2)'!K24</f>
        <v>386889.50489872956</v>
      </c>
      <c r="M33" s="31">
        <f>'Solution  2, (hidden) (2)'!K24</f>
        <v>1934447.5244936491</v>
      </c>
    </row>
    <row r="34" spans="3:13">
      <c r="C34">
        <f>'Solution 1, (hidden)'!B25</f>
        <v>20</v>
      </c>
      <c r="D34">
        <f>'Solution  2, (hidden)'!B25</f>
        <v>20</v>
      </c>
      <c r="E34">
        <f>IF('2. Inputs and results'!$C$23&gt;='2. Inputs and results'!$B$23,'Solution  2, (hidden)'!B25,'Solution 1, (hidden)'!B25)</f>
        <v>20</v>
      </c>
      <c r="F34" s="32">
        <f>'Solution 1, (hidden)'!L25</f>
        <v>156400</v>
      </c>
      <c r="G34" s="32">
        <f>'Solution  2, (hidden)'!L25</f>
        <v>595000</v>
      </c>
      <c r="H34" s="31">
        <f>'Solution 1, (hidden)'!D25</f>
        <v>229200</v>
      </c>
      <c r="I34" s="31">
        <f>'Solution  2, (hidden)'!D25</f>
        <v>1146000</v>
      </c>
      <c r="J34" s="31">
        <f>'Solution 1, (hidden)'!K25</f>
        <v>307934.49164371617</v>
      </c>
      <c r="K34" s="31">
        <f>'Solution  2, (hidden)'!K25</f>
        <v>1539672.4582185808</v>
      </c>
      <c r="L34" s="31">
        <f>'Solution 1, (hidden) (2)'!K25</f>
        <v>421562.87519265333</v>
      </c>
      <c r="M34" s="31">
        <f>'Solution  2, (hidden) (2)'!K25</f>
        <v>2107814.3759632683</v>
      </c>
    </row>
    <row r="35" spans="3:13">
      <c r="C35" t="str">
        <f>'Solution 1, (hidden)'!B26</f>
        <v xml:space="preserve"> </v>
      </c>
      <c r="D35" t="str">
        <f>'Solution  2, (hidden)'!B26</f>
        <v xml:space="preserve"> </v>
      </c>
      <c r="E35" t="str">
        <f>IF('2. Inputs and results'!$C$23&gt;='2. Inputs and results'!$B$23,'Solution  2, (hidden)'!B26,'Solution 1, (hidden)'!B26)</f>
        <v xml:space="preserve"> </v>
      </c>
      <c r="F35" s="32" t="e">
        <f>'Solution 1, (hidden)'!L26</f>
        <v>#N/A</v>
      </c>
      <c r="G35" s="32" t="e">
        <f>'Solution  2, (hidden)'!L26</f>
        <v>#N/A</v>
      </c>
      <c r="H35" s="31" t="e">
        <f>'Solution 1, (hidden)'!D26</f>
        <v>#N/A</v>
      </c>
      <c r="I35" s="31" t="e">
        <f>'Solution  2, (hidden)'!D26</f>
        <v>#N/A</v>
      </c>
      <c r="J35" s="31" t="e">
        <f>'Solution 1, (hidden)'!K26</f>
        <v>#N/A</v>
      </c>
      <c r="K35" s="31" t="e">
        <f>'Solution  2, (hidden)'!K26</f>
        <v>#N/A</v>
      </c>
      <c r="L35" s="31" t="e">
        <f>'Solution 1, (hidden) (2)'!K26</f>
        <v>#N/A</v>
      </c>
      <c r="M35" s="31" t="e">
        <f>'Solution  2, (hidden) (2)'!K26</f>
        <v>#N/A</v>
      </c>
    </row>
    <row r="36" spans="3:13">
      <c r="C36" t="str">
        <f>'Solution 1, (hidden)'!B27</f>
        <v xml:space="preserve"> </v>
      </c>
      <c r="D36" t="str">
        <f>'Solution  2, (hidden)'!B27</f>
        <v xml:space="preserve"> </v>
      </c>
      <c r="E36" t="str">
        <f>IF('2. Inputs and results'!$C$23&gt;='2. Inputs and results'!$B$23,'Solution  2, (hidden)'!B27,'Solution 1, (hidden)'!B27)</f>
        <v xml:space="preserve"> </v>
      </c>
      <c r="F36" s="32" t="e">
        <f>'Solution 1, (hidden)'!L27</f>
        <v>#N/A</v>
      </c>
      <c r="G36" s="32" t="e">
        <f>'Solution  2, (hidden)'!L27</f>
        <v>#N/A</v>
      </c>
      <c r="H36" s="31" t="e">
        <f>'Solution 1, (hidden)'!D27</f>
        <v>#N/A</v>
      </c>
      <c r="I36" s="31" t="e">
        <f>'Solution  2, (hidden)'!D27</f>
        <v>#N/A</v>
      </c>
      <c r="J36" s="31" t="e">
        <f>'Solution 1, (hidden)'!K27</f>
        <v>#N/A</v>
      </c>
      <c r="K36" s="31" t="e">
        <f>'Solution  2, (hidden)'!K27</f>
        <v>#N/A</v>
      </c>
      <c r="L36" s="31" t="e">
        <f>'Solution 1, (hidden) (2)'!K27</f>
        <v>#N/A</v>
      </c>
      <c r="M36" s="31" t="e">
        <f>'Solution  2, (hidden) (2)'!K27</f>
        <v>#N/A</v>
      </c>
    </row>
    <row r="37" spans="3:13">
      <c r="C37" t="str">
        <f>'Solution 1, (hidden)'!B28</f>
        <v xml:space="preserve"> </v>
      </c>
      <c r="D37" t="str">
        <f>'Solution  2, (hidden)'!B28</f>
        <v xml:space="preserve"> </v>
      </c>
      <c r="E37" t="str">
        <f>IF('2. Inputs and results'!$C$23&gt;='2. Inputs and results'!$B$23,'Solution  2, (hidden)'!B28,'Solution 1, (hidden)'!B28)</f>
        <v xml:space="preserve"> </v>
      </c>
      <c r="F37" s="32" t="e">
        <f>'Solution 1, (hidden)'!L28</f>
        <v>#N/A</v>
      </c>
      <c r="G37" s="32" t="e">
        <f>'Solution  2, (hidden)'!L28</f>
        <v>#N/A</v>
      </c>
      <c r="H37" s="31" t="e">
        <f>'Solution 1, (hidden)'!D28</f>
        <v>#N/A</v>
      </c>
      <c r="I37" s="31" t="e">
        <f>'Solution  2, (hidden)'!D28</f>
        <v>#N/A</v>
      </c>
      <c r="J37" s="31" t="e">
        <f>'Solution 1, (hidden)'!K28</f>
        <v>#N/A</v>
      </c>
      <c r="K37" s="31" t="e">
        <f>'Solution  2, (hidden)'!K28</f>
        <v>#N/A</v>
      </c>
      <c r="L37" s="31" t="e">
        <f>'Solution 1, (hidden) (2)'!K28</f>
        <v>#N/A</v>
      </c>
      <c r="M37" s="31" t="e">
        <f>'Solution  2, (hidden) (2)'!K28</f>
        <v>#N/A</v>
      </c>
    </row>
    <row r="38" spans="3:13">
      <c r="C38" t="str">
        <f>'Solution 1, (hidden)'!B29</f>
        <v xml:space="preserve"> </v>
      </c>
      <c r="D38" t="str">
        <f>'Solution  2, (hidden)'!B29</f>
        <v xml:space="preserve"> </v>
      </c>
      <c r="E38" t="str">
        <f>IF('2. Inputs and results'!$C$23&gt;='2. Inputs and results'!$B$23,'Solution  2, (hidden)'!B29,'Solution 1, (hidden)'!B29)</f>
        <v xml:space="preserve"> </v>
      </c>
      <c r="F38" s="32" t="e">
        <f>'Solution 1, (hidden)'!L29</f>
        <v>#N/A</v>
      </c>
      <c r="G38" s="32" t="e">
        <f>'Solution  2, (hidden)'!L29</f>
        <v>#N/A</v>
      </c>
      <c r="H38" s="31" t="e">
        <f>'Solution 1, (hidden)'!D29</f>
        <v>#N/A</v>
      </c>
      <c r="I38" s="31" t="e">
        <f>'Solution  2, (hidden)'!D29</f>
        <v>#N/A</v>
      </c>
      <c r="J38" s="31" t="e">
        <f>'Solution 1, (hidden)'!K29</f>
        <v>#N/A</v>
      </c>
      <c r="K38" s="31" t="e">
        <f>'Solution  2, (hidden)'!K29</f>
        <v>#N/A</v>
      </c>
      <c r="L38" s="31" t="e">
        <f>'Solution 1, (hidden) (2)'!K29</f>
        <v>#N/A</v>
      </c>
      <c r="M38" s="31" t="e">
        <f>'Solution  2, (hidden) (2)'!K29</f>
        <v>#N/A</v>
      </c>
    </row>
    <row r="39" spans="3:13">
      <c r="C39" t="str">
        <f>'Solution 1, (hidden)'!B30</f>
        <v xml:space="preserve"> </v>
      </c>
      <c r="D39" t="str">
        <f>'Solution  2, (hidden)'!B30</f>
        <v xml:space="preserve"> </v>
      </c>
      <c r="E39" t="str">
        <f>IF('2. Inputs and results'!$C$23&gt;='2. Inputs and results'!$B$23,'Solution  2, (hidden)'!B30,'Solution 1, (hidden)'!B30)</f>
        <v xml:space="preserve"> </v>
      </c>
      <c r="F39" s="32" t="e">
        <f>'Solution 1, (hidden)'!L30</f>
        <v>#N/A</v>
      </c>
      <c r="G39" s="32" t="e">
        <f>'Solution  2, (hidden)'!L30</f>
        <v>#N/A</v>
      </c>
      <c r="H39" s="31" t="e">
        <f>'Solution 1, (hidden)'!D30</f>
        <v>#N/A</v>
      </c>
      <c r="I39" s="31" t="e">
        <f>'Solution  2, (hidden)'!D30</f>
        <v>#N/A</v>
      </c>
      <c r="J39" s="31" t="e">
        <f>'Solution 1, (hidden)'!K30</f>
        <v>#N/A</v>
      </c>
      <c r="K39" s="31" t="e">
        <f>'Solution  2, (hidden)'!K30</f>
        <v>#N/A</v>
      </c>
      <c r="L39" s="31" t="e">
        <f>'Solution 1, (hidden) (2)'!K30</f>
        <v>#N/A</v>
      </c>
      <c r="M39" s="31" t="e">
        <f>'Solution  2, (hidden) (2)'!K30</f>
        <v>#N/A</v>
      </c>
    </row>
    <row r="40" spans="3:13">
      <c r="C40" t="str">
        <f>'Solution 1, (hidden)'!B31</f>
        <v xml:space="preserve"> </v>
      </c>
      <c r="D40" t="str">
        <f>'Solution  2, (hidden)'!B31</f>
        <v xml:space="preserve"> </v>
      </c>
      <c r="E40" t="str">
        <f>IF('2. Inputs and results'!$C$23&gt;='2. Inputs and results'!$B$23,'Solution  2, (hidden)'!B31,'Solution 1, (hidden)'!B31)</f>
        <v xml:space="preserve"> </v>
      </c>
      <c r="F40" s="32" t="e">
        <f>'Solution 1, (hidden)'!L31</f>
        <v>#N/A</v>
      </c>
      <c r="G40" s="32" t="e">
        <f>'Solution  2, (hidden)'!L31</f>
        <v>#N/A</v>
      </c>
      <c r="H40" s="31" t="e">
        <f>'Solution 1, (hidden)'!D31</f>
        <v>#N/A</v>
      </c>
      <c r="I40" s="31" t="e">
        <f>'Solution  2, (hidden)'!D31</f>
        <v>#N/A</v>
      </c>
      <c r="J40" s="31" t="e">
        <f>'Solution 1, (hidden)'!K31</f>
        <v>#N/A</v>
      </c>
      <c r="K40" s="31" t="e">
        <f>'Solution  2, (hidden)'!K31</f>
        <v>#N/A</v>
      </c>
      <c r="L40" s="31" t="e">
        <f>'Solution 1, (hidden) (2)'!K31</f>
        <v>#N/A</v>
      </c>
      <c r="M40" s="31" t="e">
        <f>'Solution  2, (hidden) (2)'!K31</f>
        <v>#N/A</v>
      </c>
    </row>
    <row r="41" spans="3:13">
      <c r="C41" t="str">
        <f>'Solution 1, (hidden)'!B32</f>
        <v xml:space="preserve"> </v>
      </c>
      <c r="D41" t="str">
        <f>'Solution  2, (hidden)'!B32</f>
        <v xml:space="preserve"> </v>
      </c>
      <c r="E41" t="str">
        <f>IF('2. Inputs and results'!$C$23&gt;='2. Inputs and results'!$B$23,'Solution  2, (hidden)'!B32,'Solution 1, (hidden)'!B32)</f>
        <v xml:space="preserve"> </v>
      </c>
      <c r="F41" s="32" t="e">
        <f>'Solution 1, (hidden)'!L32</f>
        <v>#N/A</v>
      </c>
      <c r="G41" s="32" t="e">
        <f>'Solution  2, (hidden)'!L32</f>
        <v>#N/A</v>
      </c>
      <c r="H41" s="31" t="e">
        <f>'Solution 1, (hidden)'!D32</f>
        <v>#N/A</v>
      </c>
      <c r="I41" s="31" t="e">
        <f>'Solution  2, (hidden)'!D32</f>
        <v>#N/A</v>
      </c>
      <c r="J41" s="31" t="e">
        <f>'Solution 1, (hidden)'!K32</f>
        <v>#N/A</v>
      </c>
      <c r="K41" s="31" t="e">
        <f>'Solution  2, (hidden)'!K32</f>
        <v>#N/A</v>
      </c>
      <c r="L41" s="31" t="e">
        <f>'Solution 1, (hidden) (2)'!K32</f>
        <v>#N/A</v>
      </c>
      <c r="M41" s="31" t="e">
        <f>'Solution  2, (hidden) (2)'!K32</f>
        <v>#N/A</v>
      </c>
    </row>
    <row r="42" spans="3:13">
      <c r="C42" t="str">
        <f>'Solution 1, (hidden)'!B33</f>
        <v xml:space="preserve"> </v>
      </c>
      <c r="D42" t="str">
        <f>'Solution  2, (hidden)'!B33</f>
        <v xml:space="preserve"> </v>
      </c>
      <c r="E42" t="str">
        <f>IF('2. Inputs and results'!$C$23&gt;='2. Inputs and results'!$B$23,'Solution  2, (hidden)'!B33,'Solution 1, (hidden)'!B33)</f>
        <v xml:space="preserve"> </v>
      </c>
      <c r="F42" s="32" t="e">
        <f>'Solution 1, (hidden)'!L33</f>
        <v>#N/A</v>
      </c>
      <c r="G42" s="32" t="e">
        <f>'Solution  2, (hidden)'!L33</f>
        <v>#N/A</v>
      </c>
      <c r="H42" s="31" t="e">
        <f>'Solution 1, (hidden)'!D33</f>
        <v>#N/A</v>
      </c>
      <c r="I42" s="31" t="e">
        <f>'Solution  2, (hidden)'!D33</f>
        <v>#N/A</v>
      </c>
      <c r="J42" s="31" t="e">
        <f>'Solution 1, (hidden)'!K33</f>
        <v>#N/A</v>
      </c>
      <c r="K42" s="31" t="e">
        <f>'Solution  2, (hidden)'!K33</f>
        <v>#N/A</v>
      </c>
      <c r="L42" s="31" t="e">
        <f>'Solution 1, (hidden) (2)'!K33</f>
        <v>#N/A</v>
      </c>
      <c r="M42" s="31" t="e">
        <f>'Solution  2, (hidden) (2)'!K33</f>
        <v>#N/A</v>
      </c>
    </row>
    <row r="43" spans="3:13">
      <c r="C43" t="str">
        <f>'Solution 1, (hidden)'!B34</f>
        <v xml:space="preserve"> </v>
      </c>
      <c r="D43" t="str">
        <f>'Solution  2, (hidden)'!B34</f>
        <v xml:space="preserve"> </v>
      </c>
      <c r="E43" t="str">
        <f>IF('2. Inputs and results'!$C$23&gt;='2. Inputs and results'!$B$23,'Solution  2, (hidden)'!B34,'Solution 1, (hidden)'!B34)</f>
        <v xml:space="preserve"> </v>
      </c>
      <c r="F43" s="32" t="e">
        <f>'Solution 1, (hidden)'!L34</f>
        <v>#N/A</v>
      </c>
      <c r="G43" s="32" t="e">
        <f>'Solution  2, (hidden)'!L34</f>
        <v>#N/A</v>
      </c>
      <c r="H43" s="31" t="e">
        <f>'Solution 1, (hidden)'!D34</f>
        <v>#N/A</v>
      </c>
      <c r="I43" s="31" t="e">
        <f>'Solution  2, (hidden)'!D34</f>
        <v>#N/A</v>
      </c>
      <c r="J43" s="31" t="e">
        <f>'Solution 1, (hidden)'!K34</f>
        <v>#N/A</v>
      </c>
      <c r="K43" s="31" t="e">
        <f>'Solution  2, (hidden)'!K34</f>
        <v>#N/A</v>
      </c>
      <c r="L43" s="31" t="e">
        <f>'Solution 1, (hidden) (2)'!K34</f>
        <v>#N/A</v>
      </c>
      <c r="M43" s="31" t="e">
        <f>'Solution  2, (hidden) (2)'!K34</f>
        <v>#N/A</v>
      </c>
    </row>
    <row r="44" spans="3:13">
      <c r="C44" t="str">
        <f>'Solution 1, (hidden)'!B35</f>
        <v xml:space="preserve"> </v>
      </c>
      <c r="D44" t="str">
        <f>'Solution  2, (hidden)'!B35</f>
        <v xml:space="preserve"> </v>
      </c>
      <c r="E44" t="str">
        <f>IF('2. Inputs and results'!$C$23&gt;='2. Inputs and results'!$B$23,'Solution  2, (hidden)'!B35,'Solution 1, (hidden)'!B35)</f>
        <v xml:space="preserve"> </v>
      </c>
      <c r="F44" s="32" t="e">
        <f>'Solution 1, (hidden)'!L35</f>
        <v>#N/A</v>
      </c>
      <c r="G44" s="32" t="e">
        <f>'Solution  2, (hidden)'!L35</f>
        <v>#N/A</v>
      </c>
      <c r="H44" s="31" t="e">
        <f>'Solution 1, (hidden)'!D35</f>
        <v>#N/A</v>
      </c>
      <c r="I44" s="31" t="e">
        <f>'Solution  2, (hidden)'!D35</f>
        <v>#N/A</v>
      </c>
      <c r="J44" s="31" t="e">
        <f>'Solution 1, (hidden)'!K35</f>
        <v>#N/A</v>
      </c>
      <c r="K44" s="31" t="e">
        <f>'Solution  2, (hidden)'!K35</f>
        <v>#N/A</v>
      </c>
      <c r="L44" s="31" t="e">
        <f>'Solution 1, (hidden) (2)'!K35</f>
        <v>#N/A</v>
      </c>
      <c r="M44" s="31" t="e">
        <f>'Solution  2, (hidden) (2)'!K35</f>
        <v>#N/A</v>
      </c>
    </row>
    <row r="45" spans="3:13">
      <c r="C45" t="str">
        <f>'Solution 1, (hidden)'!B36</f>
        <v xml:space="preserve"> </v>
      </c>
      <c r="D45" t="str">
        <f>'Solution  2, (hidden)'!B36</f>
        <v xml:space="preserve"> </v>
      </c>
      <c r="E45" t="str">
        <f>IF('2. Inputs and results'!$C$23&gt;='2. Inputs and results'!$B$23,'Solution  2, (hidden)'!B36,'Solution 1, (hidden)'!B36)</f>
        <v xml:space="preserve"> </v>
      </c>
      <c r="F45" s="33" t="e">
        <f>'Solution 1, (hidden)'!L36</f>
        <v>#N/A</v>
      </c>
      <c r="G45" s="33" t="e">
        <f>'Solution  2, (hidden)'!L36</f>
        <v>#N/A</v>
      </c>
      <c r="H45" s="34" t="e">
        <f>'Solution 1, (hidden)'!D36</f>
        <v>#N/A</v>
      </c>
      <c r="I45" s="34" t="e">
        <f>'Solution  2, (hidden)'!D36</f>
        <v>#N/A</v>
      </c>
      <c r="J45" s="34" t="e">
        <f>'Solution 1, (hidden)'!K36</f>
        <v>#N/A</v>
      </c>
      <c r="K45" s="34" t="e">
        <f>'Solution  2, (hidden)'!K36</f>
        <v>#N/A</v>
      </c>
      <c r="L45" s="31" t="e">
        <f>'Solution 1, (hidden) (2)'!K36</f>
        <v>#N/A</v>
      </c>
      <c r="M45" s="31" t="e">
        <f>'Solution  2, (hidden) (2)'!K36</f>
        <v>#N/A</v>
      </c>
    </row>
    <row r="46" spans="3:13">
      <c r="C46" t="str">
        <f>'Solution 1, (hidden)'!B37</f>
        <v xml:space="preserve"> </v>
      </c>
      <c r="D46" t="str">
        <f>'Solution  2, (hidden)'!B37</f>
        <v xml:space="preserve"> </v>
      </c>
      <c r="E46" t="str">
        <f>IF('2. Inputs and results'!$C$23&gt;='2. Inputs and results'!$B$23,'Solution  2, (hidden)'!B37,'Solution 1, (hidden)'!B37)</f>
        <v xml:space="preserve"> </v>
      </c>
      <c r="F46" s="33" t="e">
        <f>'Solution 1, (hidden)'!L37</f>
        <v>#N/A</v>
      </c>
      <c r="G46" s="33" t="e">
        <f>'Solution  2, (hidden)'!L37</f>
        <v>#N/A</v>
      </c>
      <c r="H46" s="34" t="e">
        <f>'Solution 1, (hidden)'!D37</f>
        <v>#N/A</v>
      </c>
      <c r="I46" s="34" t="e">
        <f>'Solution  2, (hidden)'!D37</f>
        <v>#N/A</v>
      </c>
      <c r="J46" s="34" t="e">
        <f>'Solution 1, (hidden)'!K37</f>
        <v>#N/A</v>
      </c>
      <c r="K46" s="34" t="e">
        <f>'Solution  2, (hidden)'!K37</f>
        <v>#N/A</v>
      </c>
      <c r="L46" s="31" t="e">
        <f>'Solution 1, (hidden) (2)'!K37</f>
        <v>#N/A</v>
      </c>
      <c r="M46" s="31" t="e">
        <f>'Solution  2, (hidden) (2)'!K37</f>
        <v>#N/A</v>
      </c>
    </row>
    <row r="47" spans="3:13">
      <c r="C47" t="str">
        <f>'Solution 1, (hidden)'!B38</f>
        <v xml:space="preserve"> </v>
      </c>
      <c r="D47" t="str">
        <f>'Solution  2, (hidden)'!B38</f>
        <v xml:space="preserve"> </v>
      </c>
      <c r="E47" t="str">
        <f>IF('2. Inputs and results'!$C$23&gt;='2. Inputs and results'!$B$23,'Solution  2, (hidden)'!B38,'Solution 1, (hidden)'!B38)</f>
        <v xml:space="preserve"> </v>
      </c>
      <c r="F47" s="33" t="e">
        <f>'Solution 1, (hidden)'!L38</f>
        <v>#N/A</v>
      </c>
      <c r="G47" s="33" t="e">
        <f>'Solution  2, (hidden)'!L38</f>
        <v>#N/A</v>
      </c>
      <c r="H47" s="34" t="e">
        <f>'Solution 1, (hidden)'!D38</f>
        <v>#N/A</v>
      </c>
      <c r="I47" s="34" t="e">
        <f>'Solution  2, (hidden)'!D38</f>
        <v>#N/A</v>
      </c>
      <c r="J47" s="34" t="e">
        <f>'Solution 1, (hidden)'!K38</f>
        <v>#N/A</v>
      </c>
      <c r="K47" s="34" t="e">
        <f>'Solution  2, (hidden)'!K38</f>
        <v>#N/A</v>
      </c>
      <c r="L47" s="31" t="e">
        <f>'Solution 1, (hidden) (2)'!K38</f>
        <v>#N/A</v>
      </c>
      <c r="M47" s="31" t="e">
        <f>'Solution  2, (hidden) (2)'!K38</f>
        <v>#N/A</v>
      </c>
    </row>
    <row r="48" spans="3:13">
      <c r="C48" t="str">
        <f>'Solution 1, (hidden)'!B39</f>
        <v xml:space="preserve"> </v>
      </c>
      <c r="D48" t="str">
        <f>'Solution  2, (hidden)'!B39</f>
        <v xml:space="preserve"> </v>
      </c>
      <c r="E48" t="str">
        <f>IF('2. Inputs and results'!$C$23&gt;='2. Inputs and results'!$B$23,'Solution  2, (hidden)'!B39,'Solution 1, (hidden)'!B39)</f>
        <v xml:space="preserve"> </v>
      </c>
      <c r="F48" s="33" t="e">
        <f>'Solution 1, (hidden)'!L39</f>
        <v>#N/A</v>
      </c>
      <c r="G48" s="33" t="e">
        <f>'Solution  2, (hidden)'!L39</f>
        <v>#N/A</v>
      </c>
      <c r="H48" s="34" t="e">
        <f>'Solution 1, (hidden)'!D39</f>
        <v>#N/A</v>
      </c>
      <c r="I48" s="34" t="e">
        <f>'Solution  2, (hidden)'!D39</f>
        <v>#N/A</v>
      </c>
      <c r="J48" s="34" t="e">
        <f>'Solution 1, (hidden)'!K39</f>
        <v>#N/A</v>
      </c>
      <c r="K48" s="34" t="e">
        <f>'Solution  2, (hidden)'!K39</f>
        <v>#N/A</v>
      </c>
      <c r="L48" s="31" t="e">
        <f>'Solution 1, (hidden) (2)'!K39</f>
        <v>#N/A</v>
      </c>
      <c r="M48" s="31" t="e">
        <f>'Solution  2, (hidden) (2)'!K39</f>
        <v>#N/A</v>
      </c>
    </row>
    <row r="49" spans="3:13">
      <c r="C49" t="str">
        <f>'Solution 1, (hidden)'!B40</f>
        <v xml:space="preserve"> </v>
      </c>
      <c r="D49" t="str">
        <f>'Solution  2, (hidden)'!B40</f>
        <v xml:space="preserve"> </v>
      </c>
      <c r="E49" t="str">
        <f>IF('2. Inputs and results'!$C$23&gt;='2. Inputs and results'!$B$23,'Solution  2, (hidden)'!B40,'Solution 1, (hidden)'!B40)</f>
        <v xml:space="preserve"> </v>
      </c>
      <c r="F49" s="33" t="e">
        <f>'Solution 1, (hidden)'!L40</f>
        <v>#N/A</v>
      </c>
      <c r="G49" s="33" t="e">
        <f>'Solution  2, (hidden)'!L40</f>
        <v>#N/A</v>
      </c>
      <c r="H49" s="34" t="e">
        <f>'Solution 1, (hidden)'!D40</f>
        <v>#N/A</v>
      </c>
      <c r="I49" s="34" t="e">
        <f>'Solution  2, (hidden)'!D40</f>
        <v>#N/A</v>
      </c>
      <c r="J49" s="34" t="e">
        <f>'Solution 1, (hidden)'!K40</f>
        <v>#N/A</v>
      </c>
      <c r="K49" s="34" t="e">
        <f>'Solution  2, (hidden)'!K40</f>
        <v>#N/A</v>
      </c>
      <c r="L49" s="31" t="e">
        <f>'Solution 1, (hidden) (2)'!K40</f>
        <v>#N/A</v>
      </c>
      <c r="M49" s="31" t="e">
        <f>'Solution  2, (hidden) (2)'!K40</f>
        <v>#N/A</v>
      </c>
    </row>
    <row r="50" spans="3:13">
      <c r="C50" t="str">
        <f>'Solution 1, (hidden)'!B41</f>
        <v xml:space="preserve"> </v>
      </c>
      <c r="D50" t="str">
        <f>'Solution  2, (hidden)'!B41</f>
        <v xml:space="preserve"> </v>
      </c>
      <c r="E50" t="str">
        <f>IF('2. Inputs and results'!$C$23&gt;='2. Inputs and results'!$B$23,'Solution  2, (hidden)'!B41,'Solution 1, (hidden)'!B41)</f>
        <v xml:space="preserve"> </v>
      </c>
      <c r="F50" s="33" t="e">
        <f>'Solution 1, (hidden)'!L41</f>
        <v>#N/A</v>
      </c>
      <c r="G50" s="33" t="e">
        <f>'Solution  2, (hidden)'!L41</f>
        <v>#N/A</v>
      </c>
      <c r="H50" s="34" t="e">
        <f>'Solution 1, (hidden)'!D41</f>
        <v>#N/A</v>
      </c>
      <c r="I50" s="34" t="e">
        <f>'Solution  2, (hidden)'!D41</f>
        <v>#N/A</v>
      </c>
      <c r="J50" s="34" t="e">
        <f>'Solution 1, (hidden)'!K41</f>
        <v>#N/A</v>
      </c>
      <c r="K50" s="34" t="e">
        <f>'Solution  2, (hidden)'!K41</f>
        <v>#N/A</v>
      </c>
      <c r="L50" s="31" t="e">
        <f>'Solution 1, (hidden) (2)'!K41</f>
        <v>#N/A</v>
      </c>
      <c r="M50" s="31" t="e">
        <f>'Solution  2, (hidden) (2)'!K41</f>
        <v>#N/A</v>
      </c>
    </row>
    <row r="51" spans="3:13">
      <c r="C51" t="str">
        <f>'Solution 1, (hidden)'!B42</f>
        <v xml:space="preserve"> </v>
      </c>
      <c r="D51" t="str">
        <f>'Solution  2, (hidden)'!B42</f>
        <v xml:space="preserve"> </v>
      </c>
      <c r="E51" t="str">
        <f>IF('2. Inputs and results'!$C$23&gt;='2. Inputs and results'!$B$23,'Solution  2, (hidden)'!B42,'Solution 1, (hidden)'!B42)</f>
        <v xml:space="preserve"> </v>
      </c>
      <c r="F51" s="33" t="e">
        <f>'Solution 1, (hidden)'!L42</f>
        <v>#N/A</v>
      </c>
      <c r="G51" s="33" t="e">
        <f>'Solution  2, (hidden)'!L42</f>
        <v>#N/A</v>
      </c>
      <c r="H51" s="34" t="e">
        <f>'Solution 1, (hidden)'!D42</f>
        <v>#N/A</v>
      </c>
      <c r="I51" s="34" t="e">
        <f>'Solution  2, (hidden)'!D42</f>
        <v>#N/A</v>
      </c>
      <c r="J51" s="34" t="e">
        <f>'Solution 1, (hidden)'!K42</f>
        <v>#N/A</v>
      </c>
      <c r="K51" s="34" t="e">
        <f>'Solution  2, (hidden)'!K42</f>
        <v>#N/A</v>
      </c>
      <c r="L51" s="31" t="e">
        <f>'Solution 1, (hidden) (2)'!K42</f>
        <v>#N/A</v>
      </c>
      <c r="M51" s="31" t="e">
        <f>'Solution  2, (hidden) (2)'!K42</f>
        <v>#N/A</v>
      </c>
    </row>
    <row r="52" spans="3:13">
      <c r="C52" t="str">
        <f>'Solution 1, (hidden)'!B43</f>
        <v xml:space="preserve"> </v>
      </c>
      <c r="D52" t="str">
        <f>'Solution  2, (hidden)'!B43</f>
        <v xml:space="preserve"> </v>
      </c>
      <c r="E52" t="str">
        <f>IF('2. Inputs and results'!$C$23&gt;='2. Inputs and results'!$B$23,'Solution  2, (hidden)'!B43,'Solution 1, (hidden)'!B43)</f>
        <v xml:space="preserve"> </v>
      </c>
      <c r="F52" s="33" t="e">
        <f>'Solution 1, (hidden)'!L43</f>
        <v>#N/A</v>
      </c>
      <c r="G52" s="33" t="e">
        <f>'Solution  2, (hidden)'!L43</f>
        <v>#N/A</v>
      </c>
      <c r="H52" s="34" t="e">
        <f>'Solution 1, (hidden)'!D43</f>
        <v>#N/A</v>
      </c>
      <c r="I52" s="34" t="e">
        <f>'Solution  2, (hidden)'!D43</f>
        <v>#N/A</v>
      </c>
      <c r="J52" s="34" t="e">
        <f>'Solution 1, (hidden)'!K43</f>
        <v>#N/A</v>
      </c>
      <c r="K52" s="34" t="e">
        <f>'Solution  2, (hidden)'!K43</f>
        <v>#N/A</v>
      </c>
      <c r="L52" s="31" t="e">
        <f>'Solution 1, (hidden) (2)'!K43</f>
        <v>#N/A</v>
      </c>
      <c r="M52" s="31" t="e">
        <f>'Solution  2, (hidden) (2)'!K43</f>
        <v>#N/A</v>
      </c>
    </row>
    <row r="53" spans="3:13">
      <c r="C53" t="str">
        <f>'Solution 1, (hidden)'!B44</f>
        <v xml:space="preserve"> </v>
      </c>
      <c r="D53" t="str">
        <f>'Solution  2, (hidden)'!B44</f>
        <v xml:space="preserve"> </v>
      </c>
      <c r="E53" t="str">
        <f>IF('2. Inputs and results'!$C$23&gt;='2. Inputs and results'!$B$23,'Solution  2, (hidden)'!B44,'Solution 1, (hidden)'!B44)</f>
        <v xml:space="preserve"> </v>
      </c>
      <c r="F53" s="33" t="e">
        <f>'Solution 1, (hidden)'!L44</f>
        <v>#N/A</v>
      </c>
      <c r="G53" s="33" t="e">
        <f>'Solution  2, (hidden)'!L44</f>
        <v>#N/A</v>
      </c>
      <c r="H53" s="34" t="e">
        <f>'Solution 1, (hidden)'!D44</f>
        <v>#N/A</v>
      </c>
      <c r="I53" s="34" t="e">
        <f>'Solution  2, (hidden)'!D44</f>
        <v>#N/A</v>
      </c>
      <c r="J53" s="34" t="e">
        <f>'Solution 1, (hidden)'!K44</f>
        <v>#N/A</v>
      </c>
      <c r="K53" s="34" t="e">
        <f>'Solution  2, (hidden)'!K44</f>
        <v>#N/A</v>
      </c>
      <c r="L53" s="31" t="e">
        <f>'Solution 1, (hidden) (2)'!K44</f>
        <v>#N/A</v>
      </c>
      <c r="M53" s="31" t="e">
        <f>'Solution  2, (hidden) (2)'!K44</f>
        <v>#N/A</v>
      </c>
    </row>
    <row r="54" spans="3:13">
      <c r="C54" t="str">
        <f>'Solution 1, (hidden)'!B45</f>
        <v xml:space="preserve"> </v>
      </c>
      <c r="D54" t="str">
        <f>'Solution  2, (hidden)'!B45</f>
        <v xml:space="preserve"> </v>
      </c>
      <c r="E54" t="str">
        <f>IF('2. Inputs and results'!$C$23&gt;='2. Inputs and results'!$B$23,'Solution  2, (hidden)'!B45,'Solution 1, (hidden)'!B45)</f>
        <v xml:space="preserve"> </v>
      </c>
      <c r="F54" s="33" t="e">
        <f>'Solution 1, (hidden)'!L45</f>
        <v>#N/A</v>
      </c>
      <c r="G54" s="33" t="e">
        <f>'Solution  2, (hidden)'!L45</f>
        <v>#N/A</v>
      </c>
      <c r="H54" s="34" t="e">
        <f>'Solution 1, (hidden)'!D45</f>
        <v>#N/A</v>
      </c>
      <c r="I54" s="34" t="e">
        <f>'Solution  2, (hidden)'!D45</f>
        <v>#N/A</v>
      </c>
      <c r="J54" s="34" t="e">
        <f>'Solution 1, (hidden)'!K45</f>
        <v>#N/A</v>
      </c>
      <c r="K54" s="34" t="e">
        <f>'Solution  2, (hidden)'!K45</f>
        <v>#N/A</v>
      </c>
      <c r="L54" s="31" t="e">
        <f>'Solution 1, (hidden) (2)'!K45</f>
        <v>#N/A</v>
      </c>
      <c r="M54" s="31" t="e">
        <f>'Solution  2, (hidden) (2)'!K45</f>
        <v>#N/A</v>
      </c>
    </row>
    <row r="55" spans="3:13">
      <c r="C55" t="str">
        <f>'Solution 1, (hidden)'!B46</f>
        <v xml:space="preserve"> </v>
      </c>
      <c r="D55" t="str">
        <f>'Solution  2, (hidden)'!B46</f>
        <v xml:space="preserve"> </v>
      </c>
      <c r="E55" t="str">
        <f>IF('2. Inputs and results'!$C$23&gt;='2. Inputs and results'!$B$23,'Solution  2, (hidden)'!B46,'Solution 1, (hidden)'!B46)</f>
        <v xml:space="preserve"> </v>
      </c>
      <c r="F55" s="33" t="e">
        <f>'Solution 1, (hidden)'!L46</f>
        <v>#N/A</v>
      </c>
      <c r="G55" s="33" t="e">
        <f>'Solution  2, (hidden)'!L46</f>
        <v>#N/A</v>
      </c>
      <c r="H55" s="34" t="e">
        <f>'Solution 1, (hidden)'!D46</f>
        <v>#N/A</v>
      </c>
      <c r="I55" s="34" t="e">
        <f>'Solution  2, (hidden)'!D46</f>
        <v>#N/A</v>
      </c>
      <c r="J55" s="34" t="e">
        <f>'Solution 1, (hidden)'!K46</f>
        <v>#N/A</v>
      </c>
      <c r="K55" s="34" t="e">
        <f>'Solution  2, (hidden)'!K46</f>
        <v>#N/A</v>
      </c>
      <c r="L55" s="31" t="e">
        <f>'Solution 1, (hidden) (2)'!K46</f>
        <v>#N/A</v>
      </c>
      <c r="M55" s="31" t="e">
        <f>'Solution  2, (hidden) (2)'!K46</f>
        <v>#N/A</v>
      </c>
    </row>
    <row r="56" spans="3:13">
      <c r="C56" t="str">
        <f>'Solution 1, (hidden)'!B47</f>
        <v xml:space="preserve"> </v>
      </c>
      <c r="D56" t="str">
        <f>'Solution  2, (hidden)'!B47</f>
        <v xml:space="preserve"> </v>
      </c>
      <c r="E56" t="str">
        <f>IF('2. Inputs and results'!$C$23&gt;='2. Inputs and results'!$B$23,'Solution  2, (hidden)'!B47,'Solution 1, (hidden)'!B47)</f>
        <v xml:space="preserve"> </v>
      </c>
      <c r="F56" s="33" t="e">
        <f>'Solution 1, (hidden)'!L47</f>
        <v>#N/A</v>
      </c>
      <c r="G56" s="33" t="e">
        <f>'Solution  2, (hidden)'!L47</f>
        <v>#N/A</v>
      </c>
      <c r="H56" s="34" t="e">
        <f>'Solution 1, (hidden)'!D47</f>
        <v>#N/A</v>
      </c>
      <c r="I56" s="34" t="e">
        <f>'Solution  2, (hidden)'!D47</f>
        <v>#N/A</v>
      </c>
      <c r="J56" s="34" t="e">
        <f>'Solution 1, (hidden)'!K47</f>
        <v>#N/A</v>
      </c>
      <c r="K56" s="34" t="e">
        <f>'Solution  2, (hidden)'!K47</f>
        <v>#N/A</v>
      </c>
      <c r="L56" s="31" t="e">
        <f>'Solution 1, (hidden) (2)'!K47</f>
        <v>#N/A</v>
      </c>
      <c r="M56" s="31" t="e">
        <f>'Solution  2, (hidden) (2)'!K47</f>
        <v>#N/A</v>
      </c>
    </row>
    <row r="57" spans="3:13">
      <c r="C57" t="str">
        <f>'Solution 1, (hidden)'!B48</f>
        <v xml:space="preserve"> </v>
      </c>
      <c r="D57" t="str">
        <f>'Solution  2, (hidden)'!B48</f>
        <v xml:space="preserve"> </v>
      </c>
      <c r="E57" t="str">
        <f>IF('2. Inputs and results'!$C$23&gt;='2. Inputs and results'!$B$23,'Solution  2, (hidden)'!B48,'Solution 1, (hidden)'!B48)</f>
        <v xml:space="preserve"> </v>
      </c>
      <c r="F57" s="33" t="e">
        <f>'Solution 1, (hidden)'!L48</f>
        <v>#N/A</v>
      </c>
      <c r="G57" s="33" t="e">
        <f>'Solution  2, (hidden)'!L48</f>
        <v>#N/A</v>
      </c>
      <c r="H57" s="34" t="e">
        <f>'Solution 1, (hidden)'!D48</f>
        <v>#N/A</v>
      </c>
      <c r="I57" s="34" t="e">
        <f>'Solution  2, (hidden)'!D48</f>
        <v>#N/A</v>
      </c>
      <c r="J57" s="34" t="e">
        <f>'Solution 1, (hidden)'!K48</f>
        <v>#N/A</v>
      </c>
      <c r="K57" s="34" t="e">
        <f>'Solution  2, (hidden)'!K48</f>
        <v>#N/A</v>
      </c>
      <c r="L57" s="31" t="e">
        <f>'Solution 1, (hidden) (2)'!K48</f>
        <v>#N/A</v>
      </c>
      <c r="M57" s="31" t="e">
        <f>'Solution  2, (hidden) (2)'!K48</f>
        <v>#N/A</v>
      </c>
    </row>
    <row r="58" spans="3:13">
      <c r="C58" t="str">
        <f>'Solution 1, (hidden)'!B49</f>
        <v xml:space="preserve"> </v>
      </c>
      <c r="D58" t="str">
        <f>'Solution  2, (hidden)'!B49</f>
        <v xml:space="preserve"> </v>
      </c>
      <c r="E58" t="str">
        <f>IF('2. Inputs and results'!$C$23&gt;='2. Inputs and results'!$B$23,'Solution  2, (hidden)'!B49,'Solution 1, (hidden)'!B49)</f>
        <v xml:space="preserve"> </v>
      </c>
      <c r="F58" s="33" t="e">
        <f>'Solution 1, (hidden)'!L49</f>
        <v>#N/A</v>
      </c>
      <c r="G58" s="33" t="e">
        <f>'Solution  2, (hidden)'!L49</f>
        <v>#N/A</v>
      </c>
      <c r="H58" s="34" t="e">
        <f>'Solution 1, (hidden)'!D49</f>
        <v>#N/A</v>
      </c>
      <c r="I58" s="34" t="e">
        <f>'Solution  2, (hidden)'!D49</f>
        <v>#N/A</v>
      </c>
      <c r="J58" s="34" t="e">
        <f>'Solution 1, (hidden)'!K49</f>
        <v>#N/A</v>
      </c>
      <c r="K58" s="34" t="e">
        <f>'Solution  2, (hidden)'!K49</f>
        <v>#N/A</v>
      </c>
      <c r="L58" s="31" t="e">
        <f>'Solution 1, (hidden) (2)'!K49</f>
        <v>#N/A</v>
      </c>
      <c r="M58" s="31" t="e">
        <f>'Solution  2, (hidden) (2)'!K49</f>
        <v>#N/A</v>
      </c>
    </row>
    <row r="59" spans="3:13">
      <c r="C59" t="str">
        <f>'Solution 1, (hidden)'!B50</f>
        <v xml:space="preserve"> </v>
      </c>
      <c r="D59" t="str">
        <f>'Solution  2, (hidden)'!B50</f>
        <v xml:space="preserve"> </v>
      </c>
      <c r="E59" t="str">
        <f>IF('2. Inputs and results'!$C$23&gt;='2. Inputs and results'!$B$23,'Solution  2, (hidden)'!B50,'Solution 1, (hidden)'!B50)</f>
        <v xml:space="preserve"> </v>
      </c>
      <c r="F59" s="33" t="e">
        <f>'Solution 1, (hidden)'!L50</f>
        <v>#N/A</v>
      </c>
      <c r="G59" s="33" t="e">
        <f>'Solution  2, (hidden)'!L50</f>
        <v>#N/A</v>
      </c>
      <c r="H59" s="34" t="e">
        <f>'Solution 1, (hidden)'!D50</f>
        <v>#N/A</v>
      </c>
      <c r="I59" s="34" t="e">
        <f>'Solution  2, (hidden)'!D50</f>
        <v>#N/A</v>
      </c>
      <c r="J59" s="34" t="e">
        <f>'Solution 1, (hidden)'!K50</f>
        <v>#N/A</v>
      </c>
      <c r="K59" s="34" t="e">
        <f>'Solution  2, (hidden)'!K50</f>
        <v>#N/A</v>
      </c>
      <c r="L59" s="31" t="e">
        <f>'Solution 1, (hidden) (2)'!K50</f>
        <v>#N/A</v>
      </c>
      <c r="M59" s="31" t="e">
        <f>'Solution  2, (hidden) (2)'!K50</f>
        <v>#N/A</v>
      </c>
    </row>
    <row r="60" spans="3:13">
      <c r="C60" t="str">
        <f>'Solution 1, (hidden)'!B51</f>
        <v xml:space="preserve"> </v>
      </c>
      <c r="D60" t="str">
        <f>'Solution  2, (hidden)'!B51</f>
        <v xml:space="preserve"> </v>
      </c>
      <c r="E60" t="str">
        <f>IF('2. Inputs and results'!$C$23&gt;='2. Inputs and results'!$B$23,'Solution  2, (hidden)'!B51,'Solution 1, (hidden)'!B51)</f>
        <v xml:space="preserve"> </v>
      </c>
      <c r="F60" s="33" t="e">
        <f>'Solution 1, (hidden)'!L51</f>
        <v>#N/A</v>
      </c>
      <c r="G60" s="33" t="e">
        <f>'Solution  2, (hidden)'!L51</f>
        <v>#N/A</v>
      </c>
      <c r="H60" s="34" t="e">
        <f>'Solution 1, (hidden)'!D51</f>
        <v>#N/A</v>
      </c>
      <c r="I60" s="34" t="e">
        <f>'Solution  2, (hidden)'!D51</f>
        <v>#N/A</v>
      </c>
      <c r="J60" s="34" t="e">
        <f>'Solution 1, (hidden)'!K51</f>
        <v>#N/A</v>
      </c>
      <c r="K60" s="34" t="e">
        <f>'Solution  2, (hidden)'!K51</f>
        <v>#N/A</v>
      </c>
      <c r="L60" s="31" t="e">
        <f>'Solution 1, (hidden) (2)'!K51</f>
        <v>#N/A</v>
      </c>
      <c r="M60" s="31" t="e">
        <f>'Solution  2, (hidden) (2)'!K51</f>
        <v>#N/A</v>
      </c>
    </row>
    <row r="61" spans="3:13">
      <c r="C61" t="str">
        <f>'Solution 1, (hidden)'!B52</f>
        <v xml:space="preserve"> </v>
      </c>
      <c r="D61" t="str">
        <f>'Solution  2, (hidden)'!B52</f>
        <v xml:space="preserve"> </v>
      </c>
      <c r="E61" t="str">
        <f>IF('2. Inputs and results'!$C$23&gt;='2. Inputs and results'!$B$23,'Solution  2, (hidden)'!B52,'Solution 1, (hidden)'!B52)</f>
        <v xml:space="preserve"> </v>
      </c>
      <c r="F61" s="33" t="e">
        <f>'Solution 1, (hidden)'!L52</f>
        <v>#N/A</v>
      </c>
      <c r="G61" s="33" t="e">
        <f>'Solution  2, (hidden)'!L52</f>
        <v>#N/A</v>
      </c>
      <c r="H61" s="34" t="e">
        <f>'Solution 1, (hidden)'!D52</f>
        <v>#N/A</v>
      </c>
      <c r="I61" s="34" t="e">
        <f>'Solution  2, (hidden)'!D52</f>
        <v>#N/A</v>
      </c>
      <c r="J61" s="34" t="e">
        <f>'Solution 1, (hidden)'!K52</f>
        <v>#N/A</v>
      </c>
      <c r="K61" s="34" t="e">
        <f>'Solution  2, (hidden)'!K52</f>
        <v>#N/A</v>
      </c>
      <c r="L61" s="31" t="e">
        <f>'Solution 1, (hidden) (2)'!K52</f>
        <v>#N/A</v>
      </c>
      <c r="M61" s="31" t="e">
        <f>'Solution  2, (hidden) (2)'!K52</f>
        <v>#N/A</v>
      </c>
    </row>
    <row r="62" spans="3:13">
      <c r="C62" t="str">
        <f>'Solution 1, (hidden)'!B53</f>
        <v xml:space="preserve"> </v>
      </c>
      <c r="D62" t="str">
        <f>'Solution  2, (hidden)'!B53</f>
        <v xml:space="preserve"> </v>
      </c>
      <c r="E62" t="str">
        <f>IF('2. Inputs and results'!$C$23&gt;='2. Inputs and results'!$B$23,'Solution  2, (hidden)'!B53,'Solution 1, (hidden)'!B53)</f>
        <v xml:space="preserve"> </v>
      </c>
      <c r="F62" s="33" t="e">
        <f>'Solution 1, (hidden)'!L53</f>
        <v>#N/A</v>
      </c>
      <c r="G62" s="33" t="e">
        <f>'Solution  2, (hidden)'!L53</f>
        <v>#N/A</v>
      </c>
      <c r="H62" s="34" t="e">
        <f>'Solution 1, (hidden)'!D53</f>
        <v>#N/A</v>
      </c>
      <c r="I62" s="34" t="e">
        <f>'Solution  2, (hidden)'!D53</f>
        <v>#N/A</v>
      </c>
      <c r="J62" s="34" t="e">
        <f>'Solution 1, (hidden)'!K53</f>
        <v>#N/A</v>
      </c>
      <c r="K62" s="34" t="e">
        <f>'Solution  2, (hidden)'!K53</f>
        <v>#N/A</v>
      </c>
      <c r="L62" s="31" t="e">
        <f>'Solution 1, (hidden) (2)'!K53</f>
        <v>#N/A</v>
      </c>
      <c r="M62" s="31" t="e">
        <f>'Solution  2, (hidden) (2)'!K53</f>
        <v>#N/A</v>
      </c>
    </row>
    <row r="63" spans="3:13">
      <c r="C63" t="str">
        <f>'Solution 1, (hidden)'!B54</f>
        <v xml:space="preserve"> </v>
      </c>
      <c r="D63" t="str">
        <f>'Solution  2, (hidden)'!B54</f>
        <v xml:space="preserve"> </v>
      </c>
      <c r="E63" t="str">
        <f>IF('2. Inputs and results'!$C$23&gt;='2. Inputs and results'!$B$23,'Solution  2, (hidden)'!B54,'Solution 1, (hidden)'!B54)</f>
        <v xml:space="preserve"> </v>
      </c>
      <c r="F63" s="33" t="e">
        <f>'Solution 1, (hidden)'!L54</f>
        <v>#N/A</v>
      </c>
      <c r="G63" s="33" t="e">
        <f>'Solution  2, (hidden)'!L54</f>
        <v>#N/A</v>
      </c>
      <c r="H63" s="34" t="e">
        <f>'Solution 1, (hidden)'!D54</f>
        <v>#N/A</v>
      </c>
      <c r="I63" s="34" t="e">
        <f>'Solution  2, (hidden)'!D54</f>
        <v>#N/A</v>
      </c>
      <c r="J63" s="34" t="e">
        <f>'Solution 1, (hidden)'!K54</f>
        <v>#N/A</v>
      </c>
      <c r="K63" s="34" t="e">
        <f>'Solution  2, (hidden)'!K54</f>
        <v>#N/A</v>
      </c>
      <c r="L63" s="31" t="e">
        <f>'Solution 1, (hidden) (2)'!K54</f>
        <v>#N/A</v>
      </c>
      <c r="M63" s="31" t="e">
        <f>'Solution  2, (hidden) (2)'!K54</f>
        <v>#N/A</v>
      </c>
    </row>
    <row r="64" spans="3:13">
      <c r="C64" t="str">
        <f>'Solution 1, (hidden)'!B55</f>
        <v xml:space="preserve"> </v>
      </c>
      <c r="D64" t="str">
        <f>'Solution  2, (hidden)'!B55</f>
        <v xml:space="preserve"> </v>
      </c>
      <c r="E64" t="str">
        <f>'Solution  2, (hidden)'!B55</f>
        <v xml:space="preserve"> </v>
      </c>
      <c r="F64" s="33" t="e">
        <f>'Solution 1, (hidden)'!L55</f>
        <v>#N/A</v>
      </c>
      <c r="G64" s="33" t="e">
        <f>'Solution  2, (hidden)'!L55</f>
        <v>#N/A</v>
      </c>
      <c r="H64" s="34" t="e">
        <f>'Solution 1, (hidden)'!D55</f>
        <v>#N/A</v>
      </c>
      <c r="I64" s="34" t="e">
        <f>'Solution  2, (hidden)'!D55</f>
        <v>#N/A</v>
      </c>
      <c r="J64" s="34" t="e">
        <f>'Solution 1, (hidden)'!K55</f>
        <v>#N/A</v>
      </c>
      <c r="K64" s="34" t="e">
        <f>'Solution  2, (hidden)'!K55</f>
        <v>#N/A</v>
      </c>
      <c r="L64" s="31" t="e">
        <f>'Solution 1, (hidden) (2)'!K55</f>
        <v>#N/A</v>
      </c>
      <c r="M64" s="31" t="e">
        <f>'Solution  2, (hidden) (2)'!K55</f>
        <v>#N/A</v>
      </c>
    </row>
    <row r="65" spans="6:11">
      <c r="F65" s="35"/>
      <c r="G65" s="35"/>
      <c r="H65" s="35"/>
      <c r="I65" s="35"/>
      <c r="J65" s="35"/>
      <c r="K65" s="35"/>
    </row>
    <row r="66" spans="6:11">
      <c r="F66" s="35"/>
      <c r="G66" s="35"/>
      <c r="H66" s="35"/>
      <c r="I66" s="35"/>
      <c r="J66" s="35"/>
      <c r="K66" s="35"/>
    </row>
    <row r="67" spans="6:11">
      <c r="F67" s="35"/>
      <c r="G67" s="35"/>
      <c r="H67" s="35"/>
      <c r="I67" s="35"/>
      <c r="J67" s="35"/>
      <c r="K67" s="35"/>
    </row>
    <row r="68" spans="6:11">
      <c r="F68" s="35"/>
      <c r="G68" s="35"/>
      <c r="H68" s="35"/>
      <c r="I68" s="35"/>
      <c r="J68" s="35"/>
      <c r="K68" s="35"/>
    </row>
    <row r="69" spans="6:11">
      <c r="F69" s="35"/>
      <c r="G69" s="35"/>
      <c r="H69" s="35"/>
      <c r="I69" s="35"/>
      <c r="J69" s="35"/>
      <c r="K69" s="35"/>
    </row>
    <row r="70" spans="6:11">
      <c r="F70" s="35"/>
      <c r="G70" s="35"/>
      <c r="H70" s="35"/>
      <c r="I70" s="35"/>
      <c r="J70" s="35"/>
      <c r="K70" s="35"/>
    </row>
    <row r="71" spans="6:11">
      <c r="F71" s="35"/>
      <c r="G71" s="35"/>
      <c r="H71" s="35"/>
      <c r="I71" s="35"/>
      <c r="J71" s="35"/>
      <c r="K71" s="35"/>
    </row>
  </sheetData>
  <sheetProtection sheet="1" objects="1" scenarios="1"/>
  <conditionalFormatting sqref="F14:K64">
    <cfRule type="containsErrors" dxfId="8" priority="3">
      <formula>ISERROR(F14)</formula>
    </cfRule>
  </conditionalFormatting>
  <conditionalFormatting sqref="F14:M64">
    <cfRule type="cellIs" dxfId="7" priority="1" operator="lessThan">
      <formula>0</formula>
    </cfRule>
  </conditionalFormatting>
  <pageMargins left="0.7" right="0.7" top="0.75" bottom="0.75" header="0.3" footer="0.3"/>
  <pageSetup paperSize="9" scale="6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ul12">
    <pageSetUpPr fitToPage="1"/>
  </sheetPr>
  <dimension ref="A1:G63"/>
  <sheetViews>
    <sheetView topLeftCell="A2" workbookViewId="0">
      <selection activeCell="R28" sqref="R28"/>
    </sheetView>
  </sheetViews>
  <sheetFormatPr defaultColWidth="9" defaultRowHeight="15"/>
  <cols>
    <col min="1" max="1" width="36.7109375" customWidth="1"/>
    <col min="2" max="2" width="36.28515625" customWidth="1"/>
    <col min="3" max="3" width="11.7109375" customWidth="1"/>
    <col min="4" max="4" width="10.85546875" customWidth="1"/>
    <col min="5" max="5" width="7.42578125" customWidth="1"/>
    <col min="6" max="6" width="35.85546875" customWidth="1"/>
    <col min="7" max="7" width="28.7109375" customWidth="1"/>
  </cols>
  <sheetData>
    <row r="1" spans="1:7" ht="80.25" customHeight="1"/>
    <row r="2" spans="1:7">
      <c r="A2" s="22" t="s">
        <v>93</v>
      </c>
      <c r="B2" s="23" t="str">
        <f>'2. Inputs and results'!B5</f>
        <v>Building</v>
      </c>
    </row>
    <row r="3" spans="1:7">
      <c r="A3" s="24"/>
      <c r="B3" s="25"/>
    </row>
    <row r="4" spans="1:7" ht="13.5" customHeight="1">
      <c r="A4" s="24" t="s">
        <v>95</v>
      </c>
      <c r="B4" s="26" t="str">
        <f>'2. Inputs and results'!B6</f>
        <v>Housing/ Residential building</v>
      </c>
    </row>
    <row r="5" spans="1:7">
      <c r="A5" s="24"/>
      <c r="B5" s="25"/>
    </row>
    <row r="6" spans="1:7">
      <c r="A6" s="24" t="s">
        <v>97</v>
      </c>
      <c r="B6" s="26" t="str">
        <f>'2. Inputs and results'!B8</f>
        <v>District heating</v>
      </c>
    </row>
    <row r="7" spans="1:7">
      <c r="A7" s="24" t="s">
        <v>99</v>
      </c>
      <c r="B7" s="26" t="str">
        <f>'2. Inputs and results'!B9</f>
        <v>Other</v>
      </c>
    </row>
    <row r="8" spans="1:7">
      <c r="A8" s="27" t="s">
        <v>101</v>
      </c>
      <c r="B8" s="28" t="str">
        <f>'2. Inputs and results'!B10</f>
        <v>None</v>
      </c>
    </row>
    <row r="11" spans="1:7">
      <c r="F11" s="29" t="s">
        <v>230</v>
      </c>
      <c r="G11" s="29" t="s">
        <v>231</v>
      </c>
    </row>
    <row r="12" spans="1:7">
      <c r="C12" s="29" t="s">
        <v>232</v>
      </c>
      <c r="D12" s="29" t="s">
        <v>233</v>
      </c>
      <c r="E12" s="29" t="str">
        <f>'6. Pay back time'!E12</f>
        <v>Year</v>
      </c>
      <c r="F12" s="29" t="str">
        <f>'2. Inputs and results'!B19</f>
        <v>One measure</v>
      </c>
      <c r="G12" s="29" t="str">
        <f>'2. Inputs and results'!C19</f>
        <v>Group procurement of the measure</v>
      </c>
    </row>
    <row r="13" spans="1:7">
      <c r="C13">
        <f>'Solution 1, (hidden)'!B5</f>
        <v>0</v>
      </c>
      <c r="D13">
        <f>'Solution  2, (hidden)'!B5</f>
        <v>0</v>
      </c>
      <c r="E13">
        <f>IF('2. Inputs and results'!$C$23&gt;='2. Inputs and results'!$B$23,'Solution  2, (hidden)'!B5,'Solution 1, (hidden)'!B5)</f>
        <v>0</v>
      </c>
      <c r="F13">
        <f>'Solution 1, (hidden)'!AF5</f>
        <v>0</v>
      </c>
      <c r="G13">
        <f>'Solution  2, (hidden)'!AF5</f>
        <v>0</v>
      </c>
    </row>
    <row r="14" spans="1:7">
      <c r="C14">
        <f>'Solution 1, (hidden)'!B6</f>
        <v>1</v>
      </c>
      <c r="D14">
        <f>'Solution  2, (hidden)'!B6</f>
        <v>1</v>
      </c>
      <c r="E14">
        <f>IF('2. Inputs and results'!$C$23&gt;='2. Inputs and results'!$B$23,'Solution  2, (hidden)'!B6,'Solution 1, (hidden)'!B6)</f>
        <v>1</v>
      </c>
      <c r="F14" s="30">
        <f>'Solution 1, (hidden)'!AF6</f>
        <v>-20.399999999999999</v>
      </c>
      <c r="G14">
        <f>'Solution  2, (hidden)'!AF6</f>
        <v>-102</v>
      </c>
    </row>
    <row r="15" spans="1:7">
      <c r="C15">
        <f>'Solution 1, (hidden)'!B7</f>
        <v>2</v>
      </c>
      <c r="D15">
        <f>'Solution  2, (hidden)'!B7</f>
        <v>2</v>
      </c>
      <c r="E15">
        <f>IF('2. Inputs and results'!$C$23&gt;='2. Inputs and results'!$B$23,'Solution  2, (hidden)'!B7,'Solution 1, (hidden)'!B7)</f>
        <v>2</v>
      </c>
      <c r="F15" s="30">
        <f>'Solution 1, (hidden)'!AF7</f>
        <v>-40.799999999999997</v>
      </c>
      <c r="G15">
        <f>'Solution  2, (hidden)'!AF7</f>
        <v>-204</v>
      </c>
    </row>
    <row r="16" spans="1:7">
      <c r="C16">
        <f>'Solution 1, (hidden)'!B8</f>
        <v>3</v>
      </c>
      <c r="D16">
        <f>'Solution  2, (hidden)'!B8</f>
        <v>3</v>
      </c>
      <c r="E16">
        <f>IF('2. Inputs and results'!$C$23&gt;='2. Inputs and results'!$B$23,'Solution  2, (hidden)'!B8,'Solution 1, (hidden)'!B8)</f>
        <v>3</v>
      </c>
      <c r="F16" s="30">
        <f>'Solution 1, (hidden)'!AF8</f>
        <v>-61.2</v>
      </c>
      <c r="G16">
        <f>'Solution  2, (hidden)'!AF8</f>
        <v>-306</v>
      </c>
    </row>
    <row r="17" spans="3:7">
      <c r="C17">
        <f>'Solution 1, (hidden)'!B9</f>
        <v>4</v>
      </c>
      <c r="D17">
        <f>'Solution  2, (hidden)'!B9</f>
        <v>4</v>
      </c>
      <c r="E17">
        <f>IF('2. Inputs and results'!$C$23&gt;='2. Inputs and results'!$B$23,'Solution  2, (hidden)'!B9,'Solution 1, (hidden)'!B9)</f>
        <v>4</v>
      </c>
      <c r="F17" s="30">
        <f>'Solution 1, (hidden)'!AF9</f>
        <v>-81.599999999999994</v>
      </c>
      <c r="G17">
        <f>'Solution  2, (hidden)'!AF9</f>
        <v>-408</v>
      </c>
    </row>
    <row r="18" spans="3:7">
      <c r="C18">
        <f>'Solution 1, (hidden)'!B10</f>
        <v>5</v>
      </c>
      <c r="D18">
        <f>'Solution  2, (hidden)'!B10</f>
        <v>5</v>
      </c>
      <c r="E18">
        <f>IF('2. Inputs and results'!$C$23&gt;='2. Inputs and results'!$B$23,'Solution  2, (hidden)'!B10,'Solution 1, (hidden)'!B10)</f>
        <v>5</v>
      </c>
      <c r="F18" s="30">
        <f>'Solution 1, (hidden)'!AF10</f>
        <v>-102</v>
      </c>
      <c r="G18">
        <f>'Solution  2, (hidden)'!AF10</f>
        <v>-510</v>
      </c>
    </row>
    <row r="19" spans="3:7">
      <c r="C19">
        <f>'Solution 1, (hidden)'!B11</f>
        <v>6</v>
      </c>
      <c r="D19">
        <f>'Solution  2, (hidden)'!B11</f>
        <v>6</v>
      </c>
      <c r="E19">
        <f>IF('2. Inputs and results'!$C$23&gt;='2. Inputs and results'!$B$23,'Solution  2, (hidden)'!B11,'Solution 1, (hidden)'!B11)</f>
        <v>6</v>
      </c>
      <c r="F19" s="30">
        <f>'Solution 1, (hidden)'!AF11</f>
        <v>-122.4</v>
      </c>
      <c r="G19">
        <f>'Solution  2, (hidden)'!AF11</f>
        <v>-612</v>
      </c>
    </row>
    <row r="20" spans="3:7">
      <c r="C20">
        <f>'Solution 1, (hidden)'!B12</f>
        <v>7</v>
      </c>
      <c r="D20">
        <f>'Solution  2, (hidden)'!B12</f>
        <v>7</v>
      </c>
      <c r="E20">
        <f>IF('2. Inputs and results'!$C$23&gt;='2. Inputs and results'!$B$23,'Solution  2, (hidden)'!B12,'Solution 1, (hidden)'!B12)</f>
        <v>7</v>
      </c>
      <c r="F20" s="30">
        <f>'Solution 1, (hidden)'!AF12</f>
        <v>-142.80000000000001</v>
      </c>
      <c r="G20">
        <f>'Solution  2, (hidden)'!AF12</f>
        <v>-714</v>
      </c>
    </row>
    <row r="21" spans="3:7">
      <c r="C21">
        <f>'Solution 1, (hidden)'!B13</f>
        <v>8</v>
      </c>
      <c r="D21">
        <f>'Solution  2, (hidden)'!B13</f>
        <v>8</v>
      </c>
      <c r="E21">
        <f>IF('2. Inputs and results'!$C$23&gt;='2. Inputs and results'!$B$23,'Solution  2, (hidden)'!B13,'Solution 1, (hidden)'!B13)</f>
        <v>8</v>
      </c>
      <c r="F21" s="30">
        <f>'Solution 1, (hidden)'!AF13</f>
        <v>-163.19999999999999</v>
      </c>
      <c r="G21">
        <f>'Solution  2, (hidden)'!AF13</f>
        <v>-816</v>
      </c>
    </row>
    <row r="22" spans="3:7">
      <c r="C22">
        <f>'Solution 1, (hidden)'!B14</f>
        <v>9</v>
      </c>
      <c r="D22">
        <f>'Solution  2, (hidden)'!B14</f>
        <v>9</v>
      </c>
      <c r="E22">
        <f>IF('2. Inputs and results'!$C$23&gt;='2. Inputs and results'!$B$23,'Solution  2, (hidden)'!B14,'Solution 1, (hidden)'!B14)</f>
        <v>9</v>
      </c>
      <c r="F22" s="30">
        <f>'Solution 1, (hidden)'!AF14</f>
        <v>-183.6</v>
      </c>
      <c r="G22">
        <f>'Solution  2, (hidden)'!AF14</f>
        <v>-918</v>
      </c>
    </row>
    <row r="23" spans="3:7">
      <c r="C23">
        <f>'Solution 1, (hidden)'!B15</f>
        <v>10</v>
      </c>
      <c r="D23">
        <f>'Solution  2, (hidden)'!B15</f>
        <v>10</v>
      </c>
      <c r="E23">
        <f>IF('2. Inputs and results'!$C$23&gt;='2. Inputs and results'!$B$23,'Solution  2, (hidden)'!B15,'Solution 1, (hidden)'!B15)</f>
        <v>10</v>
      </c>
      <c r="F23" s="30">
        <f>'Solution 1, (hidden)'!AF15</f>
        <v>-204</v>
      </c>
      <c r="G23">
        <f>'Solution  2, (hidden)'!AF15</f>
        <v>-1020</v>
      </c>
    </row>
    <row r="24" spans="3:7">
      <c r="C24">
        <f>'Solution 1, (hidden)'!B16</f>
        <v>11</v>
      </c>
      <c r="D24">
        <f>'Solution  2, (hidden)'!B16</f>
        <v>11</v>
      </c>
      <c r="E24">
        <f>IF('2. Inputs and results'!$C$23&gt;='2. Inputs and results'!$B$23,'Solution  2, (hidden)'!B16,'Solution 1, (hidden)'!B16)</f>
        <v>11</v>
      </c>
      <c r="F24" s="30">
        <f>'Solution 1, (hidden)'!AF16</f>
        <v>-224.4</v>
      </c>
      <c r="G24">
        <f>'Solution  2, (hidden)'!AF16</f>
        <v>-1122</v>
      </c>
    </row>
    <row r="25" spans="3:7">
      <c r="C25">
        <f>'Solution 1, (hidden)'!B17</f>
        <v>12</v>
      </c>
      <c r="D25">
        <f>'Solution  2, (hidden)'!B17</f>
        <v>12</v>
      </c>
      <c r="E25">
        <f>IF('2. Inputs and results'!$C$23&gt;='2. Inputs and results'!$B$23,'Solution  2, (hidden)'!B17,'Solution 1, (hidden)'!B17)</f>
        <v>12</v>
      </c>
      <c r="F25" s="30">
        <f>'Solution 1, (hidden)'!AF17</f>
        <v>-244.8</v>
      </c>
      <c r="G25">
        <f>'Solution  2, (hidden)'!AF17</f>
        <v>-1224</v>
      </c>
    </row>
    <row r="26" spans="3:7">
      <c r="C26">
        <f>'Solution 1, (hidden)'!B18</f>
        <v>13</v>
      </c>
      <c r="D26">
        <f>'Solution  2, (hidden)'!B18</f>
        <v>13</v>
      </c>
      <c r="E26">
        <f>IF('2. Inputs and results'!$C$23&gt;='2. Inputs and results'!$B$23,'Solution  2, (hidden)'!B18,'Solution 1, (hidden)'!B18)</f>
        <v>13</v>
      </c>
      <c r="F26" s="30">
        <f>'Solution 1, (hidden)'!AF18</f>
        <v>-265.2</v>
      </c>
      <c r="G26">
        <f>'Solution  2, (hidden)'!AF18</f>
        <v>-1326</v>
      </c>
    </row>
    <row r="27" spans="3:7">
      <c r="C27">
        <f>'Solution 1, (hidden)'!B19</f>
        <v>14</v>
      </c>
      <c r="D27">
        <f>'Solution  2, (hidden)'!B19</f>
        <v>14</v>
      </c>
      <c r="E27">
        <f>IF('2. Inputs and results'!$C$23&gt;='2. Inputs and results'!$B$23,'Solution  2, (hidden)'!B19,'Solution 1, (hidden)'!B19)</f>
        <v>14</v>
      </c>
      <c r="F27" s="30">
        <f>'Solution 1, (hidden)'!AF19</f>
        <v>-285.60000000000002</v>
      </c>
      <c r="G27">
        <f>'Solution  2, (hidden)'!AF19</f>
        <v>-1428</v>
      </c>
    </row>
    <row r="28" spans="3:7">
      <c r="C28">
        <f>'Solution 1, (hidden)'!B20</f>
        <v>15</v>
      </c>
      <c r="D28">
        <f>'Solution  2, (hidden)'!B20</f>
        <v>15</v>
      </c>
      <c r="E28">
        <f>IF('2. Inputs and results'!$C$23&gt;='2. Inputs and results'!$B$23,'Solution  2, (hidden)'!B20,'Solution 1, (hidden)'!B20)</f>
        <v>15</v>
      </c>
      <c r="F28" s="30">
        <f>'Solution 1, (hidden)'!AF20</f>
        <v>-306</v>
      </c>
      <c r="G28">
        <f>'Solution  2, (hidden)'!AF20</f>
        <v>-1530</v>
      </c>
    </row>
    <row r="29" spans="3:7">
      <c r="C29">
        <f>'Solution 1, (hidden)'!B21</f>
        <v>16</v>
      </c>
      <c r="D29">
        <f>'Solution  2, (hidden)'!B21</f>
        <v>16</v>
      </c>
      <c r="E29">
        <f>IF('2. Inputs and results'!$C$23&gt;='2. Inputs and results'!$B$23,'Solution  2, (hidden)'!B21,'Solution 1, (hidden)'!B21)</f>
        <v>16</v>
      </c>
      <c r="F29" s="30">
        <f>'Solution 1, (hidden)'!AF21</f>
        <v>-326.39999999999998</v>
      </c>
      <c r="G29">
        <f>'Solution  2, (hidden)'!AF21</f>
        <v>-1632</v>
      </c>
    </row>
    <row r="30" spans="3:7">
      <c r="C30">
        <f>'Solution 1, (hidden)'!B22</f>
        <v>17</v>
      </c>
      <c r="D30">
        <f>'Solution  2, (hidden)'!B22</f>
        <v>17</v>
      </c>
      <c r="E30">
        <f>IF('2. Inputs and results'!$C$23&gt;='2. Inputs and results'!$B$23,'Solution  2, (hidden)'!B22,'Solution 1, (hidden)'!B22)</f>
        <v>17</v>
      </c>
      <c r="F30" s="30">
        <f>'Solution 1, (hidden)'!AF22</f>
        <v>-346.8</v>
      </c>
      <c r="G30">
        <f>'Solution  2, (hidden)'!AF22</f>
        <v>-1734</v>
      </c>
    </row>
    <row r="31" spans="3:7">
      <c r="C31">
        <f>'Solution 1, (hidden)'!B23</f>
        <v>18</v>
      </c>
      <c r="D31">
        <f>'Solution  2, (hidden)'!B23</f>
        <v>18</v>
      </c>
      <c r="E31">
        <f>IF('2. Inputs and results'!$C$23&gt;='2. Inputs and results'!$B$23,'Solution  2, (hidden)'!B23,'Solution 1, (hidden)'!B23)</f>
        <v>18</v>
      </c>
      <c r="F31" s="30">
        <f>'Solution 1, (hidden)'!AF23</f>
        <v>-367.2</v>
      </c>
      <c r="G31">
        <f>'Solution  2, (hidden)'!AF23</f>
        <v>-1836</v>
      </c>
    </row>
    <row r="32" spans="3:7">
      <c r="C32">
        <f>'Solution 1, (hidden)'!B24</f>
        <v>19</v>
      </c>
      <c r="D32">
        <f>'Solution  2, (hidden)'!B24</f>
        <v>19</v>
      </c>
      <c r="E32">
        <f>IF('2. Inputs and results'!$C$23&gt;='2. Inputs and results'!$B$23,'Solution  2, (hidden)'!B24,'Solution 1, (hidden)'!B24)</f>
        <v>19</v>
      </c>
      <c r="F32" s="30">
        <f>'Solution 1, (hidden)'!AF24</f>
        <v>-387.6</v>
      </c>
      <c r="G32">
        <f>'Solution  2, (hidden)'!AF24</f>
        <v>-1938</v>
      </c>
    </row>
    <row r="33" spans="3:7">
      <c r="C33">
        <f>'Solution 1, (hidden)'!B25</f>
        <v>20</v>
      </c>
      <c r="D33">
        <f>'Solution  2, (hidden)'!B25</f>
        <v>20</v>
      </c>
      <c r="E33">
        <f>IF('2. Inputs and results'!$C$23&gt;='2. Inputs and results'!$B$23,'Solution  2, (hidden)'!B25,'Solution 1, (hidden)'!B25)</f>
        <v>20</v>
      </c>
      <c r="F33" s="30">
        <f>'Solution 1, (hidden)'!AF25</f>
        <v>-408</v>
      </c>
      <c r="G33">
        <f>'Solution  2, (hidden)'!AF25</f>
        <v>-2040</v>
      </c>
    </row>
    <row r="34" spans="3:7">
      <c r="C34" t="str">
        <f>'Solution 1, (hidden)'!B26</f>
        <v xml:space="preserve"> </v>
      </c>
      <c r="D34" t="str">
        <f>'Solution  2, (hidden)'!B26</f>
        <v xml:space="preserve"> </v>
      </c>
      <c r="E34" t="str">
        <f>IF('2. Inputs and results'!$C$23&gt;='2. Inputs and results'!$B$23,'Solution  2, (hidden)'!B26,'Solution 1, (hidden)'!B26)</f>
        <v xml:space="preserve"> </v>
      </c>
      <c r="F34" s="30" t="e">
        <f>'Solution 1, (hidden)'!AF26</f>
        <v>#N/A</v>
      </c>
      <c r="G34" t="e">
        <f>'Solution  2, (hidden)'!AF26</f>
        <v>#N/A</v>
      </c>
    </row>
    <row r="35" spans="3:7">
      <c r="C35" t="str">
        <f>'Solution 1, (hidden)'!B27</f>
        <v xml:space="preserve"> </v>
      </c>
      <c r="D35" t="str">
        <f>'Solution  2, (hidden)'!B27</f>
        <v xml:space="preserve"> </v>
      </c>
      <c r="E35" t="str">
        <f>IF('2. Inputs and results'!$C$23&gt;='2. Inputs and results'!$B$23,'Solution  2, (hidden)'!B27,'Solution 1, (hidden)'!B27)</f>
        <v xml:space="preserve"> </v>
      </c>
      <c r="F35" s="30" t="e">
        <f>'Solution 1, (hidden)'!AF27</f>
        <v>#N/A</v>
      </c>
      <c r="G35" t="e">
        <f>'Solution  2, (hidden)'!AF27</f>
        <v>#N/A</v>
      </c>
    </row>
    <row r="36" spans="3:7">
      <c r="C36" t="str">
        <f>'Solution 1, (hidden)'!B28</f>
        <v xml:space="preserve"> </v>
      </c>
      <c r="D36" t="str">
        <f>'Solution  2, (hidden)'!B28</f>
        <v xml:space="preserve"> </v>
      </c>
      <c r="E36" t="str">
        <f>IF('2. Inputs and results'!$C$23&gt;='2. Inputs and results'!$B$23,'Solution  2, (hidden)'!B28,'Solution 1, (hidden)'!B28)</f>
        <v xml:space="preserve"> </v>
      </c>
      <c r="F36" s="30" t="e">
        <f>'Solution 1, (hidden)'!AF28</f>
        <v>#N/A</v>
      </c>
      <c r="G36" t="e">
        <f>'Solution  2, (hidden)'!AF28</f>
        <v>#N/A</v>
      </c>
    </row>
    <row r="37" spans="3:7">
      <c r="C37" t="str">
        <f>'Solution 1, (hidden)'!B29</f>
        <v xml:space="preserve"> </v>
      </c>
      <c r="D37" t="str">
        <f>'Solution  2, (hidden)'!B29</f>
        <v xml:space="preserve"> </v>
      </c>
      <c r="E37" t="str">
        <f>IF('2. Inputs and results'!$C$23&gt;='2. Inputs and results'!$B$23,'Solution  2, (hidden)'!B29,'Solution 1, (hidden)'!B29)</f>
        <v xml:space="preserve"> </v>
      </c>
      <c r="F37" s="30" t="e">
        <f>'Solution 1, (hidden)'!AF29</f>
        <v>#N/A</v>
      </c>
      <c r="G37" t="e">
        <f>'Solution  2, (hidden)'!AF29</f>
        <v>#N/A</v>
      </c>
    </row>
    <row r="38" spans="3:7">
      <c r="C38" t="str">
        <f>'Solution 1, (hidden)'!B30</f>
        <v xml:space="preserve"> </v>
      </c>
      <c r="D38" t="str">
        <f>'Solution  2, (hidden)'!B30</f>
        <v xml:space="preserve"> </v>
      </c>
      <c r="E38" t="str">
        <f>IF('2. Inputs and results'!$C$23&gt;='2. Inputs and results'!$B$23,'Solution  2, (hidden)'!B30,'Solution 1, (hidden)'!B30)</f>
        <v xml:space="preserve"> </v>
      </c>
      <c r="F38" s="30" t="e">
        <f>'Solution 1, (hidden)'!AF30</f>
        <v>#N/A</v>
      </c>
      <c r="G38" t="e">
        <f>'Solution  2, (hidden)'!AF30</f>
        <v>#N/A</v>
      </c>
    </row>
    <row r="39" spans="3:7">
      <c r="C39" t="str">
        <f>'Solution 1, (hidden)'!B31</f>
        <v xml:space="preserve"> </v>
      </c>
      <c r="D39" t="str">
        <f>'Solution  2, (hidden)'!B31</f>
        <v xml:space="preserve"> </v>
      </c>
      <c r="E39" t="str">
        <f>IF('2. Inputs and results'!$C$23&gt;='2. Inputs and results'!$B$23,'Solution  2, (hidden)'!B31,'Solution 1, (hidden)'!B31)</f>
        <v xml:space="preserve"> </v>
      </c>
      <c r="F39" s="30" t="e">
        <f>'Solution 1, (hidden)'!AF31</f>
        <v>#N/A</v>
      </c>
      <c r="G39" t="e">
        <f>'Solution  2, (hidden)'!AF31</f>
        <v>#N/A</v>
      </c>
    </row>
    <row r="40" spans="3:7">
      <c r="C40" t="str">
        <f>'Solution 1, (hidden)'!B32</f>
        <v xml:space="preserve"> </v>
      </c>
      <c r="D40" t="str">
        <f>'Solution  2, (hidden)'!B32</f>
        <v xml:space="preserve"> </v>
      </c>
      <c r="E40" t="str">
        <f>IF('2. Inputs and results'!$C$23&gt;='2. Inputs and results'!$B$23,'Solution  2, (hidden)'!B32,'Solution 1, (hidden)'!B32)</f>
        <v xml:space="preserve"> </v>
      </c>
      <c r="F40" s="30" t="e">
        <f>'Solution 1, (hidden)'!AF32</f>
        <v>#N/A</v>
      </c>
      <c r="G40" t="e">
        <f>'Solution  2, (hidden)'!AF32</f>
        <v>#N/A</v>
      </c>
    </row>
    <row r="41" spans="3:7">
      <c r="C41" t="str">
        <f>'Solution 1, (hidden)'!B33</f>
        <v xml:space="preserve"> </v>
      </c>
      <c r="D41" t="str">
        <f>'Solution  2, (hidden)'!B33</f>
        <v xml:space="preserve"> </v>
      </c>
      <c r="E41" t="str">
        <f>IF('2. Inputs and results'!$C$23&gt;='2. Inputs and results'!$B$23,'Solution  2, (hidden)'!B33,'Solution 1, (hidden)'!B33)</f>
        <v xml:space="preserve"> </v>
      </c>
      <c r="F41" s="30" t="e">
        <f>'Solution 1, (hidden)'!AF33</f>
        <v>#N/A</v>
      </c>
      <c r="G41" t="e">
        <f>'Solution  2, (hidden)'!AF33</f>
        <v>#N/A</v>
      </c>
    </row>
    <row r="42" spans="3:7">
      <c r="C42" t="str">
        <f>'Solution 1, (hidden)'!B34</f>
        <v xml:space="preserve"> </v>
      </c>
      <c r="D42" t="str">
        <f>'Solution  2, (hidden)'!B34</f>
        <v xml:space="preserve"> </v>
      </c>
      <c r="E42" t="str">
        <f>IF('2. Inputs and results'!$C$23&gt;='2. Inputs and results'!$B$23,'Solution  2, (hidden)'!B34,'Solution 1, (hidden)'!B34)</f>
        <v xml:space="preserve"> </v>
      </c>
      <c r="F42" s="30" t="e">
        <f>'Solution 1, (hidden)'!AF34</f>
        <v>#N/A</v>
      </c>
      <c r="G42" t="e">
        <f>'Solution  2, (hidden)'!AF34</f>
        <v>#N/A</v>
      </c>
    </row>
    <row r="43" spans="3:7">
      <c r="C43" t="str">
        <f>'Solution 1, (hidden)'!B35</f>
        <v xml:space="preserve"> </v>
      </c>
      <c r="D43" t="str">
        <f>'Solution  2, (hidden)'!B35</f>
        <v xml:space="preserve"> </v>
      </c>
      <c r="E43" t="str">
        <f>IF('2. Inputs and results'!$C$23&gt;='2. Inputs and results'!$B$23,'Solution  2, (hidden)'!B35,'Solution 1, (hidden)'!B35)</f>
        <v xml:space="preserve"> </v>
      </c>
      <c r="F43" s="30" t="e">
        <f>'Solution 1, (hidden)'!AF35</f>
        <v>#N/A</v>
      </c>
      <c r="G43" t="e">
        <f>'Solution  2, (hidden)'!AF35</f>
        <v>#N/A</v>
      </c>
    </row>
    <row r="44" spans="3:7">
      <c r="C44" t="str">
        <f>'Solution 1, (hidden)'!B36</f>
        <v xml:space="preserve"> </v>
      </c>
      <c r="D44" t="str">
        <f>'Solution  2, (hidden)'!B36</f>
        <v xml:space="preserve"> </v>
      </c>
      <c r="E44" t="str">
        <f>IF('2. Inputs and results'!$C$23&gt;='2. Inputs and results'!$B$23,'Solution  2, (hidden)'!B36,'Solution 1, (hidden)'!B36)</f>
        <v xml:space="preserve"> </v>
      </c>
      <c r="F44" t="e">
        <f>'Solution 1, (hidden)'!AF36</f>
        <v>#N/A</v>
      </c>
      <c r="G44" t="e">
        <f>'Solution  2, (hidden)'!AF36</f>
        <v>#N/A</v>
      </c>
    </row>
    <row r="45" spans="3:7">
      <c r="C45" t="str">
        <f>'Solution 1, (hidden)'!B37</f>
        <v xml:space="preserve"> </v>
      </c>
      <c r="D45" t="str">
        <f>'Solution  2, (hidden)'!B37</f>
        <v xml:space="preserve"> </v>
      </c>
      <c r="E45" t="str">
        <f>IF('2. Inputs and results'!$C$23&gt;='2. Inputs and results'!$B$23,'Solution  2, (hidden)'!B37,'Solution 1, (hidden)'!B37)</f>
        <v xml:space="preserve"> </v>
      </c>
      <c r="F45" t="e">
        <f>'Solution 1, (hidden)'!AF37</f>
        <v>#N/A</v>
      </c>
      <c r="G45" t="e">
        <f>'Solution  2, (hidden)'!AF37</f>
        <v>#N/A</v>
      </c>
    </row>
    <row r="46" spans="3:7">
      <c r="C46" t="str">
        <f>'Solution 1, (hidden)'!B38</f>
        <v xml:space="preserve"> </v>
      </c>
      <c r="D46" t="str">
        <f>'Solution  2, (hidden)'!B38</f>
        <v xml:space="preserve"> </v>
      </c>
      <c r="E46" t="str">
        <f>IF('2. Inputs and results'!$C$23&gt;='2. Inputs and results'!$B$23,'Solution  2, (hidden)'!B38,'Solution 1, (hidden)'!B38)</f>
        <v xml:space="preserve"> </v>
      </c>
      <c r="F46" t="e">
        <f>'Solution 1, (hidden)'!AF38</f>
        <v>#N/A</v>
      </c>
      <c r="G46" t="e">
        <f>'Solution  2, (hidden)'!AF38</f>
        <v>#N/A</v>
      </c>
    </row>
    <row r="47" spans="3:7">
      <c r="C47" t="str">
        <f>'Solution 1, (hidden)'!B39</f>
        <v xml:space="preserve"> </v>
      </c>
      <c r="D47" t="str">
        <f>'Solution  2, (hidden)'!B39</f>
        <v xml:space="preserve"> </v>
      </c>
      <c r="E47" t="str">
        <f>IF('2. Inputs and results'!$C$23&gt;='2. Inputs and results'!$B$23,'Solution  2, (hidden)'!B39,'Solution 1, (hidden)'!B39)</f>
        <v xml:space="preserve"> </v>
      </c>
      <c r="F47" t="e">
        <f>'Solution 1, (hidden)'!AF39</f>
        <v>#N/A</v>
      </c>
      <c r="G47" t="e">
        <f>'Solution  2, (hidden)'!AF39</f>
        <v>#N/A</v>
      </c>
    </row>
    <row r="48" spans="3:7">
      <c r="C48" t="str">
        <f>'Solution 1, (hidden)'!B40</f>
        <v xml:space="preserve"> </v>
      </c>
      <c r="D48" t="str">
        <f>'Solution  2, (hidden)'!B40</f>
        <v xml:space="preserve"> </v>
      </c>
      <c r="E48" t="str">
        <f>IF('2. Inputs and results'!$C$23&gt;='2. Inputs and results'!$B$23,'Solution  2, (hidden)'!B40,'Solution 1, (hidden)'!B40)</f>
        <v xml:space="preserve"> </v>
      </c>
      <c r="F48" t="e">
        <f>'Solution 1, (hidden)'!AF40</f>
        <v>#N/A</v>
      </c>
      <c r="G48" t="e">
        <f>'Solution  2, (hidden)'!AF40</f>
        <v>#N/A</v>
      </c>
    </row>
    <row r="49" spans="3:7">
      <c r="C49" t="str">
        <f>'Solution 1, (hidden)'!B41</f>
        <v xml:space="preserve"> </v>
      </c>
      <c r="D49" t="str">
        <f>'Solution  2, (hidden)'!B41</f>
        <v xml:space="preserve"> </v>
      </c>
      <c r="E49" t="str">
        <f>IF('2. Inputs and results'!$C$23&gt;='2. Inputs and results'!$B$23,'Solution  2, (hidden)'!B41,'Solution 1, (hidden)'!B41)</f>
        <v xml:space="preserve"> </v>
      </c>
      <c r="F49" t="e">
        <f>'Solution 1, (hidden)'!AF41</f>
        <v>#N/A</v>
      </c>
      <c r="G49" t="e">
        <f>'Solution  2, (hidden)'!AF41</f>
        <v>#N/A</v>
      </c>
    </row>
    <row r="50" spans="3:7">
      <c r="C50" t="str">
        <f>'Solution 1, (hidden)'!B42</f>
        <v xml:space="preserve"> </v>
      </c>
      <c r="D50" t="str">
        <f>'Solution  2, (hidden)'!B42</f>
        <v xml:space="preserve"> </v>
      </c>
      <c r="E50" t="str">
        <f>IF('2. Inputs and results'!$C$23&gt;='2. Inputs and results'!$B$23,'Solution  2, (hidden)'!B42,'Solution 1, (hidden)'!B42)</f>
        <v xml:space="preserve"> </v>
      </c>
      <c r="F50" t="e">
        <f>'Solution 1, (hidden)'!AF42</f>
        <v>#N/A</v>
      </c>
      <c r="G50" t="e">
        <f>'Solution  2, (hidden)'!AF42</f>
        <v>#N/A</v>
      </c>
    </row>
    <row r="51" spans="3:7">
      <c r="C51" t="str">
        <f>'Solution 1, (hidden)'!B43</f>
        <v xml:space="preserve"> </v>
      </c>
      <c r="D51" t="str">
        <f>'Solution  2, (hidden)'!B43</f>
        <v xml:space="preserve"> </v>
      </c>
      <c r="E51" t="str">
        <f>IF('2. Inputs and results'!$C$23&gt;='2. Inputs and results'!$B$23,'Solution  2, (hidden)'!B43,'Solution 1, (hidden)'!B43)</f>
        <v xml:space="preserve"> </v>
      </c>
      <c r="F51" t="e">
        <f>'Solution 1, (hidden)'!AF43</f>
        <v>#N/A</v>
      </c>
      <c r="G51" t="e">
        <f>'Solution  2, (hidden)'!AF43</f>
        <v>#N/A</v>
      </c>
    </row>
    <row r="52" spans="3:7">
      <c r="C52" t="str">
        <f>'Solution 1, (hidden)'!B44</f>
        <v xml:space="preserve"> </v>
      </c>
      <c r="D52" t="str">
        <f>'Solution  2, (hidden)'!B44</f>
        <v xml:space="preserve"> </v>
      </c>
      <c r="E52" t="str">
        <f>IF('2. Inputs and results'!$C$23&gt;='2. Inputs and results'!$B$23,'Solution  2, (hidden)'!B44,'Solution 1, (hidden)'!B44)</f>
        <v xml:space="preserve"> </v>
      </c>
      <c r="F52" t="e">
        <f>'Solution 1, (hidden)'!AF44</f>
        <v>#N/A</v>
      </c>
      <c r="G52" t="e">
        <f>'Solution  2, (hidden)'!AF44</f>
        <v>#N/A</v>
      </c>
    </row>
    <row r="53" spans="3:7">
      <c r="C53" t="str">
        <f>'Solution 1, (hidden)'!B45</f>
        <v xml:space="preserve"> </v>
      </c>
      <c r="D53" t="str">
        <f>'Solution  2, (hidden)'!B45</f>
        <v xml:space="preserve"> </v>
      </c>
      <c r="E53" t="str">
        <f>IF('2. Inputs and results'!$C$23&gt;='2. Inputs and results'!$B$23,'Solution  2, (hidden)'!B45,'Solution 1, (hidden)'!B45)</f>
        <v xml:space="preserve"> </v>
      </c>
      <c r="F53" t="e">
        <f>'Solution 1, (hidden)'!AF45</f>
        <v>#N/A</v>
      </c>
      <c r="G53" t="e">
        <f>'Solution  2, (hidden)'!AF45</f>
        <v>#N/A</v>
      </c>
    </row>
    <row r="54" spans="3:7">
      <c r="C54" t="str">
        <f>'Solution 1, (hidden)'!B46</f>
        <v xml:space="preserve"> </v>
      </c>
      <c r="D54" t="str">
        <f>'Solution  2, (hidden)'!B46</f>
        <v xml:space="preserve"> </v>
      </c>
      <c r="E54" t="str">
        <f>IF('2. Inputs and results'!$C$23&gt;='2. Inputs and results'!$B$23,'Solution  2, (hidden)'!B46,'Solution 1, (hidden)'!B46)</f>
        <v xml:space="preserve"> </v>
      </c>
      <c r="F54" t="e">
        <f>'Solution 1, (hidden)'!AF46</f>
        <v>#N/A</v>
      </c>
      <c r="G54" t="e">
        <f>'Solution  2, (hidden)'!AF46</f>
        <v>#N/A</v>
      </c>
    </row>
    <row r="55" spans="3:7">
      <c r="C55" t="str">
        <f>'Solution 1, (hidden)'!B47</f>
        <v xml:space="preserve"> </v>
      </c>
      <c r="D55" t="str">
        <f>'Solution  2, (hidden)'!B47</f>
        <v xml:space="preserve"> </v>
      </c>
      <c r="E55" t="str">
        <f>IF('2. Inputs and results'!$C$23&gt;='2. Inputs and results'!$B$23,'Solution  2, (hidden)'!B47,'Solution 1, (hidden)'!B47)</f>
        <v xml:space="preserve"> </v>
      </c>
      <c r="F55" t="e">
        <f>'Solution 1, (hidden)'!AF47</f>
        <v>#N/A</v>
      </c>
      <c r="G55" t="e">
        <f>'Solution  2, (hidden)'!AF47</f>
        <v>#N/A</v>
      </c>
    </row>
    <row r="56" spans="3:7">
      <c r="C56" t="str">
        <f>'Solution 1, (hidden)'!B48</f>
        <v xml:space="preserve"> </v>
      </c>
      <c r="D56" t="str">
        <f>'Solution  2, (hidden)'!B48</f>
        <v xml:space="preserve"> </v>
      </c>
      <c r="E56" t="str">
        <f>IF('2. Inputs and results'!$C$23&gt;='2. Inputs and results'!$B$23,'Solution  2, (hidden)'!B48,'Solution 1, (hidden)'!B48)</f>
        <v xml:space="preserve"> </v>
      </c>
      <c r="F56" t="e">
        <f>'Solution 1, (hidden)'!AF48</f>
        <v>#N/A</v>
      </c>
      <c r="G56" t="e">
        <f>'Solution  2, (hidden)'!AF48</f>
        <v>#N/A</v>
      </c>
    </row>
    <row r="57" spans="3:7">
      <c r="C57" t="str">
        <f>'Solution 1, (hidden)'!B49</f>
        <v xml:space="preserve"> </v>
      </c>
      <c r="D57" t="str">
        <f>'Solution  2, (hidden)'!B49</f>
        <v xml:space="preserve"> </v>
      </c>
      <c r="E57" t="str">
        <f>IF('2. Inputs and results'!$C$23&gt;='2. Inputs and results'!$B$23,'Solution  2, (hidden)'!B49,'Solution 1, (hidden)'!B49)</f>
        <v xml:space="preserve"> </v>
      </c>
      <c r="F57" t="e">
        <f>'Solution 1, (hidden)'!AF49</f>
        <v>#N/A</v>
      </c>
      <c r="G57" t="e">
        <f>'Solution  2, (hidden)'!AF49</f>
        <v>#N/A</v>
      </c>
    </row>
    <row r="58" spans="3:7">
      <c r="C58" t="str">
        <f>'Solution 1, (hidden)'!B50</f>
        <v xml:space="preserve"> </v>
      </c>
      <c r="D58" t="str">
        <f>'Solution  2, (hidden)'!B50</f>
        <v xml:space="preserve"> </v>
      </c>
      <c r="E58" t="str">
        <f>IF('2. Inputs and results'!$C$23&gt;='2. Inputs and results'!$B$23,'Solution  2, (hidden)'!B50,'Solution 1, (hidden)'!B50)</f>
        <v xml:space="preserve"> </v>
      </c>
      <c r="F58" t="e">
        <f>'Solution 1, (hidden)'!AF50</f>
        <v>#N/A</v>
      </c>
      <c r="G58" t="e">
        <f>'Solution  2, (hidden)'!AF50</f>
        <v>#N/A</v>
      </c>
    </row>
    <row r="59" spans="3:7">
      <c r="C59" t="str">
        <f>'Solution 1, (hidden)'!B51</f>
        <v xml:space="preserve"> </v>
      </c>
      <c r="D59" t="str">
        <f>'Solution  2, (hidden)'!B51</f>
        <v xml:space="preserve"> </v>
      </c>
      <c r="E59" t="str">
        <f>IF('2. Inputs and results'!$C$23&gt;='2. Inputs and results'!$B$23,'Solution  2, (hidden)'!B51,'Solution 1, (hidden)'!B51)</f>
        <v xml:space="preserve"> </v>
      </c>
      <c r="F59" t="e">
        <f>'Solution 1, (hidden)'!AF51</f>
        <v>#N/A</v>
      </c>
      <c r="G59" t="e">
        <f>'Solution  2, (hidden)'!AF51</f>
        <v>#N/A</v>
      </c>
    </row>
    <row r="60" spans="3:7">
      <c r="C60" t="str">
        <f>'Solution 1, (hidden)'!B52</f>
        <v xml:space="preserve"> </v>
      </c>
      <c r="D60" t="str">
        <f>'Solution  2, (hidden)'!B52</f>
        <v xml:space="preserve"> </v>
      </c>
      <c r="E60" t="str">
        <f>IF('2. Inputs and results'!$C$23&gt;='2. Inputs and results'!$B$23,'Solution  2, (hidden)'!B52,'Solution 1, (hidden)'!B52)</f>
        <v xml:space="preserve"> </v>
      </c>
      <c r="F60" t="e">
        <f>'Solution 1, (hidden)'!AF52</f>
        <v>#N/A</v>
      </c>
      <c r="G60" t="e">
        <f>'Solution  2, (hidden)'!AF52</f>
        <v>#N/A</v>
      </c>
    </row>
    <row r="61" spans="3:7">
      <c r="C61" t="str">
        <f>'Solution 1, (hidden)'!B53</f>
        <v xml:space="preserve"> </v>
      </c>
      <c r="D61" t="str">
        <f>'Solution  2, (hidden)'!B53</f>
        <v xml:space="preserve"> </v>
      </c>
      <c r="E61" t="str">
        <f>IF('2. Inputs and results'!$C$23&gt;='2. Inputs and results'!$B$23,'Solution  2, (hidden)'!B53,'Solution 1, (hidden)'!B53)</f>
        <v xml:space="preserve"> </v>
      </c>
      <c r="F61" t="e">
        <f>'Solution 1, (hidden)'!AF53</f>
        <v>#N/A</v>
      </c>
      <c r="G61" t="e">
        <f>'Solution  2, (hidden)'!AF53</f>
        <v>#N/A</v>
      </c>
    </row>
    <row r="62" spans="3:7">
      <c r="C62" t="str">
        <f>'Solution 1, (hidden)'!B54</f>
        <v xml:space="preserve"> </v>
      </c>
      <c r="D62" t="str">
        <f>'Solution  2, (hidden)'!B54</f>
        <v xml:space="preserve"> </v>
      </c>
      <c r="E62" t="str">
        <f>IF('2. Inputs and results'!$C$23&gt;='2. Inputs and results'!$B$23,'Solution  2, (hidden)'!B54,'Solution 1, (hidden)'!B54)</f>
        <v xml:space="preserve"> </v>
      </c>
      <c r="F62" t="e">
        <f>'Solution 1, (hidden)'!AF54</f>
        <v>#N/A</v>
      </c>
      <c r="G62" t="e">
        <f>'Solution  2, (hidden)'!AF54</f>
        <v>#N/A</v>
      </c>
    </row>
    <row r="63" spans="3:7">
      <c r="C63" t="str">
        <f>'Solution 1, (hidden)'!B55</f>
        <v xml:space="preserve"> </v>
      </c>
      <c r="D63" t="str">
        <f>'Solution  2, (hidden)'!B55</f>
        <v xml:space="preserve"> </v>
      </c>
      <c r="E63" t="str">
        <f>IF('2. Inputs and results'!$C$23&gt;='2. Inputs and results'!$B$23,'Solution  2, (hidden)'!B55,'Solution 1, (hidden)'!B55)</f>
        <v xml:space="preserve"> </v>
      </c>
      <c r="F63" t="e">
        <f>'Solution 1, (hidden)'!AF55</f>
        <v>#N/A</v>
      </c>
      <c r="G63" t="e">
        <f>'Solution  2, (hidden)'!AF55</f>
        <v>#N/A</v>
      </c>
    </row>
  </sheetData>
  <sheetProtection sheet="1" objects="1" scenarios="1"/>
  <conditionalFormatting sqref="E13:G63">
    <cfRule type="containsErrors" dxfId="6" priority="1">
      <formula>ISERROR(E13)</formula>
    </cfRule>
  </conditionalFormatting>
  <pageMargins left="0.7" right="0.7" top="0.75" bottom="0.75" header="0.3" footer="0.3"/>
  <pageSetup paperSize="9" scale="63"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ul6"/>
  <dimension ref="A1:B12"/>
  <sheetViews>
    <sheetView workbookViewId="0">
      <selection activeCell="B18" sqref="B18"/>
    </sheetView>
  </sheetViews>
  <sheetFormatPr defaultColWidth="9" defaultRowHeight="15"/>
  <cols>
    <col min="1" max="1" width="44.85546875" customWidth="1"/>
    <col min="2" max="2" width="101.7109375" customWidth="1"/>
  </cols>
  <sheetData>
    <row r="1" spans="1:2">
      <c r="A1" t="s">
        <v>234</v>
      </c>
      <c r="B1" t="s">
        <v>199</v>
      </c>
    </row>
    <row r="2" spans="1:2">
      <c r="A2" s="19"/>
    </row>
    <row r="3" spans="1:2">
      <c r="A3" s="19">
        <v>43375</v>
      </c>
      <c r="B3" t="s">
        <v>235</v>
      </c>
    </row>
    <row r="4" spans="1:2">
      <c r="A4" s="19">
        <v>43376</v>
      </c>
      <c r="B4" t="s">
        <v>236</v>
      </c>
    </row>
    <row r="5" spans="1:2">
      <c r="A5" s="20">
        <v>43377</v>
      </c>
      <c r="B5" t="s">
        <v>237</v>
      </c>
    </row>
    <row r="6" spans="1:2">
      <c r="A6" t="s">
        <v>238</v>
      </c>
      <c r="B6" t="s">
        <v>239</v>
      </c>
    </row>
    <row r="7" spans="1:2">
      <c r="A7" s="20">
        <v>43396</v>
      </c>
      <c r="B7" t="s">
        <v>240</v>
      </c>
    </row>
    <row r="8" spans="1:2">
      <c r="A8" s="21">
        <v>43405</v>
      </c>
      <c r="B8" t="s">
        <v>241</v>
      </c>
    </row>
    <row r="9" spans="1:2">
      <c r="A9" s="21">
        <v>43435</v>
      </c>
      <c r="B9" t="s">
        <v>242</v>
      </c>
    </row>
    <row r="10" spans="1:2">
      <c r="A10" s="19">
        <v>43444</v>
      </c>
      <c r="B10" t="s">
        <v>243</v>
      </c>
    </row>
    <row r="11" spans="1:2">
      <c r="A11" s="19">
        <v>43454</v>
      </c>
      <c r="B11" t="s">
        <v>244</v>
      </c>
    </row>
    <row r="12" spans="1:2">
      <c r="A12" s="19">
        <v>43486</v>
      </c>
      <c r="B12" t="s">
        <v>245</v>
      </c>
    </row>
  </sheetData>
  <sheetProtection sheet="1" objects="1" scenarios="1"/>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ul8"/>
  <dimension ref="A1:A6"/>
  <sheetViews>
    <sheetView workbookViewId="0">
      <selection activeCell="C15" sqref="C15"/>
    </sheetView>
  </sheetViews>
  <sheetFormatPr defaultColWidth="9" defaultRowHeight="15"/>
  <cols>
    <col min="1" max="1" width="18.5703125" customWidth="1"/>
  </cols>
  <sheetData>
    <row r="1" spans="1:1" ht="15.75">
      <c r="A1" s="14" t="s">
        <v>97</v>
      </c>
    </row>
    <row r="2" spans="1:1" ht="15.75">
      <c r="A2" s="15" t="s">
        <v>98</v>
      </c>
    </row>
    <row r="3" spans="1:1" ht="15.75">
      <c r="A3" s="16" t="s">
        <v>104</v>
      </c>
    </row>
    <row r="4" spans="1:1" ht="15.75">
      <c r="A4" s="17" t="s">
        <v>246</v>
      </c>
    </row>
    <row r="5" spans="1:1" ht="15.75">
      <c r="A5" s="18" t="s">
        <v>247</v>
      </c>
    </row>
    <row r="6" spans="1:1" ht="15.75">
      <c r="A6" s="18" t="s">
        <v>100</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ul4">
    <pageSetUpPr fitToPage="1"/>
  </sheetPr>
  <dimension ref="A1:AF60"/>
  <sheetViews>
    <sheetView workbookViewId="0">
      <selection activeCell="I6" sqref="I6"/>
    </sheetView>
  </sheetViews>
  <sheetFormatPr defaultColWidth="9" defaultRowHeight="15"/>
  <cols>
    <col min="1" max="2" width="27.42578125" customWidth="1"/>
    <col min="3" max="3" width="36.5703125" customWidth="1"/>
    <col min="4" max="5" width="34.85546875" customWidth="1"/>
    <col min="6" max="6" width="44.140625" customWidth="1"/>
    <col min="7" max="8" width="24.85546875" customWidth="1"/>
    <col min="9" max="10" width="26.42578125" customWidth="1"/>
    <col min="11" max="11" width="33.28515625" customWidth="1"/>
    <col min="12" max="14" width="17.42578125" customWidth="1"/>
    <col min="15" max="15" width="27.85546875" customWidth="1"/>
    <col min="16" max="16" width="36.140625" customWidth="1"/>
    <col min="17" max="17" width="15" customWidth="1"/>
    <col min="18" max="18" width="38.85546875" customWidth="1"/>
    <col min="19" max="22" width="32.7109375" customWidth="1"/>
    <col min="23" max="23" width="38.42578125" customWidth="1"/>
    <col min="24" max="25" width="32.7109375" customWidth="1"/>
    <col min="26" max="30" width="39" customWidth="1"/>
    <col min="31" max="31" width="17.5703125" customWidth="1"/>
  </cols>
  <sheetData>
    <row r="1" spans="1:32">
      <c r="K1" s="5"/>
      <c r="P1" s="6"/>
      <c r="R1" s="9" t="s">
        <v>248</v>
      </c>
      <c r="S1" s="9"/>
      <c r="T1" s="13"/>
      <c r="U1" s="9"/>
      <c r="V1" s="9"/>
      <c r="W1" s="9"/>
      <c r="X1" s="9"/>
      <c r="Y1" s="13"/>
      <c r="Z1" s="9"/>
      <c r="AA1" s="9" t="s">
        <v>249</v>
      </c>
      <c r="AB1" s="9" t="s">
        <v>249</v>
      </c>
      <c r="AC1" s="9" t="s">
        <v>249</v>
      </c>
      <c r="AD1" s="9" t="s">
        <v>249</v>
      </c>
    </row>
    <row r="2" spans="1:32">
      <c r="O2" s="7" t="s">
        <v>250</v>
      </c>
      <c r="P2" s="8">
        <f>'2. Inputs and results'!B83</f>
        <v>0.04</v>
      </c>
      <c r="R2" s="9"/>
      <c r="S2" s="9"/>
      <c r="T2" s="9"/>
      <c r="U2" s="7"/>
      <c r="V2" s="9"/>
      <c r="W2" s="9"/>
      <c r="X2" s="9"/>
      <c r="Y2" s="9"/>
      <c r="Z2" s="7"/>
      <c r="AA2" s="7"/>
      <c r="AB2" s="7"/>
      <c r="AC2" s="7"/>
      <c r="AD2" s="7"/>
    </row>
    <row r="3" spans="1:32">
      <c r="G3" s="1" t="s">
        <v>251</v>
      </c>
      <c r="H3" s="1"/>
      <c r="I3" s="5"/>
      <c r="J3" s="5"/>
      <c r="K3" s="5"/>
      <c r="R3" s="9"/>
      <c r="S3" s="9"/>
      <c r="T3" s="9"/>
      <c r="U3" s="7" t="s">
        <v>252</v>
      </c>
      <c r="V3" s="9"/>
      <c r="W3" s="9"/>
      <c r="X3" s="9"/>
      <c r="Y3" s="9"/>
      <c r="Z3" t="s">
        <v>253</v>
      </c>
      <c r="AE3" t="s">
        <v>254</v>
      </c>
    </row>
    <row r="4" spans="1:32">
      <c r="A4" t="s">
        <v>255</v>
      </c>
      <c r="C4" s="7" t="s">
        <v>256</v>
      </c>
      <c r="D4" s="7" t="s">
        <v>257</v>
      </c>
      <c r="E4" s="7" t="s">
        <v>258</v>
      </c>
      <c r="F4" s="7" t="s">
        <v>259</v>
      </c>
      <c r="G4" s="5" t="s">
        <v>260</v>
      </c>
      <c r="H4" s="5" t="s">
        <v>261</v>
      </c>
      <c r="I4" s="5" t="s">
        <v>262</v>
      </c>
      <c r="J4" s="5" t="s">
        <v>263</v>
      </c>
      <c r="K4" t="s">
        <v>264</v>
      </c>
      <c r="L4" t="s">
        <v>265</v>
      </c>
      <c r="M4" t="s">
        <v>266</v>
      </c>
      <c r="N4" t="s">
        <v>267</v>
      </c>
      <c r="O4" t="s">
        <v>268</v>
      </c>
      <c r="P4" t="s">
        <v>269</v>
      </c>
      <c r="Q4" t="s">
        <v>270</v>
      </c>
      <c r="R4" s="9" t="s">
        <v>271</v>
      </c>
      <c r="S4" s="9" t="s">
        <v>272</v>
      </c>
      <c r="T4" s="9" t="s">
        <v>273</v>
      </c>
      <c r="U4" s="9" t="s">
        <v>274</v>
      </c>
      <c r="V4" s="9" t="s">
        <v>275</v>
      </c>
      <c r="W4" s="9" t="s">
        <v>276</v>
      </c>
      <c r="X4" s="9" t="s">
        <v>277</v>
      </c>
      <c r="Y4" s="9" t="s">
        <v>273</v>
      </c>
      <c r="Z4" s="9" t="s">
        <v>278</v>
      </c>
      <c r="AA4" s="9" t="s">
        <v>279</v>
      </c>
      <c r="AB4" s="9" t="s">
        <v>280</v>
      </c>
      <c r="AC4" s="9" t="s">
        <v>281</v>
      </c>
      <c r="AD4" s="9" t="s">
        <v>282</v>
      </c>
      <c r="AE4" t="s">
        <v>283</v>
      </c>
      <c r="AF4" t="s">
        <v>284</v>
      </c>
    </row>
    <row r="5" spans="1:32">
      <c r="A5">
        <v>0</v>
      </c>
      <c r="B5">
        <f>IF(A5&lt;('2. Inputs and results'!$B$23+1),A5," ")</f>
        <v>0</v>
      </c>
      <c r="C5" s="4">
        <v>0</v>
      </c>
      <c r="D5" s="4">
        <f>C5</f>
        <v>0</v>
      </c>
      <c r="E5" s="4">
        <v>0</v>
      </c>
      <c r="F5" s="4"/>
      <c r="G5" s="4">
        <v>0</v>
      </c>
      <c r="H5" s="4">
        <v>0</v>
      </c>
      <c r="I5" s="4">
        <v>0</v>
      </c>
      <c r="J5" s="4"/>
      <c r="K5" s="4">
        <f>G5+H5+I5</f>
        <v>0</v>
      </c>
      <c r="L5" s="4">
        <f>'2. Inputs and results'!B75-('2. Inputs and results'!B79*'2. Inputs and results'!B75)</f>
        <v>156400</v>
      </c>
      <c r="M5" s="4"/>
      <c r="N5" s="4"/>
      <c r="O5" s="4"/>
      <c r="P5" s="4"/>
      <c r="Q5" s="4"/>
      <c r="R5" s="4">
        <f>-L5</f>
        <v>-156400</v>
      </c>
      <c r="S5" s="4"/>
      <c r="T5" s="4"/>
      <c r="U5" s="4">
        <f>R5</f>
        <v>-156400</v>
      </c>
      <c r="V5" s="4"/>
      <c r="W5" s="4">
        <f>-L5</f>
        <v>-156400</v>
      </c>
      <c r="X5" s="4"/>
      <c r="Y5" s="4"/>
      <c r="Z5" s="4">
        <f>W5</f>
        <v>-156400</v>
      </c>
      <c r="AA5" s="4">
        <f>G5+I5+H5+T5-$V$5</f>
        <v>0</v>
      </c>
      <c r="AB5" s="11">
        <f>IF(A5&lt;('2. Inputs and results'!$B$23+1),AA5/L5,NA())</f>
        <v>0</v>
      </c>
      <c r="AC5" s="12">
        <f>(C5+Y5-$V$5)</f>
        <v>0</v>
      </c>
      <c r="AD5" s="11">
        <f>IF(A5&lt;('2. Inputs and results'!$B$23+1),AC5/L5,NA())</f>
        <v>0</v>
      </c>
      <c r="AE5">
        <f>IF(A5&lt;('2. Inputs and results'!$B$23+1),-'2. Inputs and results'!$B$124*A5," ")</f>
        <v>0</v>
      </c>
      <c r="AF5">
        <f>IF(A5&lt;('2. Inputs and results'!$B$23+1),AE5/1000,NA())</f>
        <v>0</v>
      </c>
    </row>
    <row r="6" spans="1:32">
      <c r="A6">
        <f>A5+1</f>
        <v>1</v>
      </c>
      <c r="B6">
        <f>IF(A6&lt;('2. Inputs and results'!$B$23+1),A6," ")</f>
        <v>1</v>
      </c>
      <c r="C6" s="4">
        <f>IF(A6&lt;('2. Inputs and results'!$B$23+1),'2. Inputs and results'!$B$101+'2. Inputs and results'!$B$103," ")</f>
        <v>11460</v>
      </c>
      <c r="D6" s="4">
        <f>C6</f>
        <v>11460</v>
      </c>
      <c r="E6" s="4">
        <f>IF(B6&lt;('2. Inputs and results'!$B$23+1),C6/((1+$P$2)^A6)," ")</f>
        <v>11019.23076923077</v>
      </c>
      <c r="F6" s="4">
        <f>E6</f>
        <v>11019.23076923077</v>
      </c>
      <c r="G6" s="4">
        <f>'2. Inputs and results'!B95</f>
        <v>11700</v>
      </c>
      <c r="H6" s="4">
        <f>'2. Inputs and results'!B99</f>
        <v>0</v>
      </c>
      <c r="I6" s="4">
        <f>'2. Inputs and results'!B97</f>
        <v>-240</v>
      </c>
      <c r="J6" s="4">
        <f>'2. Inputs and results'!B103</f>
        <v>0</v>
      </c>
      <c r="K6" s="4">
        <f>G6+I6+H6+J6</f>
        <v>11460</v>
      </c>
      <c r="L6" s="4">
        <f>'2. Inputs and results'!B75-('2. Inputs and results'!B79*'2. Inputs and results'!B75)</f>
        <v>156400</v>
      </c>
      <c r="M6" s="4">
        <f>IF(A6&lt;('2. Inputs and results'!$B$23+1),'2. Inputs and results'!$B$77*'2. Inputs and results'!$B$75," ")</f>
        <v>1840</v>
      </c>
      <c r="N6" s="4">
        <f>IF(A6&lt;('2. Inputs and results'!$B$23+1),M6/((1+$P$2)^A6)," ")</f>
        <v>1769.2307692307693</v>
      </c>
      <c r="O6" s="4">
        <f>L6</f>
        <v>156400</v>
      </c>
      <c r="P6" s="4">
        <f>IF(A6&lt;('2. Inputs and results'!$B$23+1),(G6+I6+H6+J6)/((1+$P$2)^A6)," ")</f>
        <v>11019.23076923077</v>
      </c>
      <c r="Q6" s="4">
        <f>P6</f>
        <v>11019.23076923077</v>
      </c>
      <c r="R6" s="4">
        <f>-L6+G6+I6+J6+H6+T6-$V$6</f>
        <v>-149908</v>
      </c>
      <c r="S6" s="4">
        <f>IF(A6&lt;('2. Inputs and results'!$B$23+1),'2. Inputs and results'!$B$81*(R5)," ")</f>
        <v>-3128</v>
      </c>
      <c r="T6" s="4">
        <f>IF(S6&lt;0,S6,0)</f>
        <v>-3128</v>
      </c>
      <c r="U6" s="4">
        <f>IF(A6&lt;('2. Inputs and results'!$B$23+1),U5+(T6+I6+G6+H6+J6-$V$6)/((1+$P$2)^A6),NA())</f>
        <v>-150157.69230769231</v>
      </c>
      <c r="V6" s="4">
        <f>'2. Inputs and results'!$B$77*'2. Inputs and results'!$B$75</f>
        <v>1840</v>
      </c>
      <c r="W6" s="4">
        <f>-L6+C6+Y6-$V$6</f>
        <v>-149908</v>
      </c>
      <c r="X6" s="4">
        <f>IF(A6&lt;('2. Inputs and results'!$B$23+1),'2. Inputs and results'!$B$81*W5," ")</f>
        <v>-3128</v>
      </c>
      <c r="Y6" s="4">
        <f>IF(X6&lt;0,X6,0)</f>
        <v>-3128</v>
      </c>
      <c r="Z6" s="4">
        <f>IF(A6&lt;('2. Inputs and results'!$B$23+1),Z5+(C6-$V$6+Y6)/((1+$P$2)^A6),NA())</f>
        <v>-150157.69230769231</v>
      </c>
      <c r="AA6" s="4">
        <f>IF(A6&lt;('2. Inputs and results'!$B$23+1),AA5+(G6+I6+H6+T6-$V$6)," ")</f>
        <v>6492</v>
      </c>
      <c r="AB6" s="11">
        <f>IF(A6&lt;('2. Inputs and results'!$B$23+1),AA6/L6,NA())</f>
        <v>4.1508951406649619E-2</v>
      </c>
      <c r="AC6" s="12">
        <f>IF(A6&lt;('2. Inputs and results'!$B$23+1),AC5+(C6+Y6-$V$6)," ")</f>
        <v>6492</v>
      </c>
      <c r="AD6" s="11">
        <f>IF(A6&lt;('2. Inputs and results'!$B$23+1),AC6/L6,NA())</f>
        <v>4.1508951406649619E-2</v>
      </c>
      <c r="AE6">
        <f>IF(A6&lt;('2. Inputs and results'!$B$23+1),-'2. Inputs and results'!$B$124*A6," ")</f>
        <v>-20400</v>
      </c>
      <c r="AF6">
        <f>IF(A6&lt;('2. Inputs and results'!$B$23+1),AE6/1000,NA())</f>
        <v>-20.399999999999999</v>
      </c>
    </row>
    <row r="7" spans="1:32">
      <c r="A7">
        <f t="shared" ref="A7:A55" si="0">A6+1</f>
        <v>2</v>
      </c>
      <c r="B7">
        <f>IF(A7&lt;('2. Inputs and results'!$B$23+1),A7," ")</f>
        <v>2</v>
      </c>
      <c r="C7" s="4">
        <f>IF(A7&lt;('2. Inputs and results'!$B$23+1),'2. Inputs and results'!$B$101+'2. Inputs and results'!$B$103," ")</f>
        <v>11460</v>
      </c>
      <c r="D7" s="4">
        <f>IF(A7&lt;('2. Inputs and results'!$B$23+1),D6+C7," ")</f>
        <v>22920</v>
      </c>
      <c r="E7" s="4">
        <f>IF(B7&lt;('2. Inputs and results'!$B$23+1),C7/((1+$P$2)^A7)," ")</f>
        <v>10595.41420118343</v>
      </c>
      <c r="F7" s="4">
        <f>IF(A7&lt;('2. Inputs and results'!$B$23+1),F6+E7," ")</f>
        <v>21614.6449704142</v>
      </c>
      <c r="G7" s="4">
        <f>IF(A7&lt;('2. Inputs and results'!$B$23+1),G6*(1+'2. Inputs and results'!$B$46)," ")</f>
        <v>12051</v>
      </c>
      <c r="H7" s="4">
        <f>IF(A7&lt;('2. Inputs and results'!$B$23+1),H6*(1+'2. Inputs and results'!$B$58)," ")</f>
        <v>0</v>
      </c>
      <c r="I7" s="4">
        <f>IF(A7&lt;('2. Inputs and results'!$B$23+1),I6*(1+'2. Inputs and results'!$B$34)," ")</f>
        <v>-247.20000000000002</v>
      </c>
      <c r="J7" s="4">
        <f>IF(A7&lt;('2. Inputs and results'!$B$23+1),J6*(1+'2. Inputs and results'!$B$68)," ")</f>
        <v>0</v>
      </c>
      <c r="K7" s="4">
        <f>IF('Solution 1, (hidden)'!A7&lt;('2. Inputs and results'!$B$23+1),K6+(G7+I7+H7+J7),NA())</f>
        <v>23263.8</v>
      </c>
      <c r="L7" s="4">
        <f>IF(A7&lt;('2. Inputs and results'!$B$23+1),L6,NA())</f>
        <v>156400</v>
      </c>
      <c r="M7" s="4">
        <f>IF(A7&lt;('2. Inputs and results'!$B$23+1),'2. Inputs and results'!$B$77*'2. Inputs and results'!$B$75," ")</f>
        <v>1840</v>
      </c>
      <c r="N7" s="4">
        <f>IF(A7&lt;('2. Inputs and results'!$B$23+1),M7/((1+$P$2)^A7)," ")</f>
        <v>1701.1834319526624</v>
      </c>
      <c r="O7" s="4">
        <f>IF(A7&lt;('2. Inputs and results'!$B$23+1),'2. Inputs and results'!$B$75*'2. Inputs and results'!$B$77+O6," ")</f>
        <v>158240</v>
      </c>
      <c r="P7" s="4">
        <f>IF(A7&lt;('2. Inputs and results'!$B$23+1),(G7+I7+H7+J7)/((1+$P$2)^A7)," ")</f>
        <v>10913.276627218933</v>
      </c>
      <c r="Q7" s="4">
        <f>IF(A7&lt;('2. Inputs and results'!$B$23+1),Q6+P7," ")</f>
        <v>21932.507396449702</v>
      </c>
      <c r="R7" s="4">
        <f>IF(A7&lt;('2. Inputs and results'!$B$23+1),R6+G7+I7+J7+H7+T7-$V$6,NA())</f>
        <v>-142942.36000000002</v>
      </c>
      <c r="S7" s="4">
        <f>IF(A7&lt;('2. Inputs and results'!$B$23+1),'2. Inputs and results'!$B$81*(R6)," ")</f>
        <v>-2998.16</v>
      </c>
      <c r="T7" s="4">
        <f t="shared" ref="T7:T55" si="1">IF(S7&lt;0,S7,0)</f>
        <v>-2998.16</v>
      </c>
      <c r="U7" s="4">
        <f>IF(A7&lt;('2. Inputs and results'!$B$23+1),U6+(T7+I7+G7+H7+J7-$V$6)/((1+$P$2)^A7),NA())</f>
        <v>-143717.56656804733</v>
      </c>
      <c r="V7" s="4">
        <f>IF(A7&lt;('2. Inputs and results'!$B$23+1),V6+('2. Inputs and results'!$B$77*'2. Inputs and results'!$B$75)," ")</f>
        <v>3680</v>
      </c>
      <c r="W7" s="4">
        <f>IF(A7&lt;('2. Inputs and results'!$B$23+1),W6+C7+Y7-$V$6,NA())</f>
        <v>-143286.16</v>
      </c>
      <c r="X7" s="4">
        <f>IF(A7&lt;('2. Inputs and results'!$B$23+1),'2. Inputs and results'!$B$81*W6," ")</f>
        <v>-2998.16</v>
      </c>
      <c r="Y7" s="4">
        <f t="shared" ref="Y7:Y55" si="2">IF(X7&lt;0,X7,0)</f>
        <v>-2998.16</v>
      </c>
      <c r="Z7" s="4">
        <f>IF(A7&lt;('2. Inputs and results'!$B$23+1),Z6+(C7-$V$6+Y7)/((1+$P$2)^A7),NA())</f>
        <v>-144035.42899408285</v>
      </c>
      <c r="AA7" s="4">
        <f>IF(A7&lt;('2. Inputs and results'!$B$23+1),AA6+(G7+I7+H7+T7-$V$6)," ")</f>
        <v>13457.64</v>
      </c>
      <c r="AB7" s="11">
        <f>IF(A7&lt;('2. Inputs and results'!$B$23+1),AA7/L7,NA())</f>
        <v>8.6046291560102295E-2</v>
      </c>
      <c r="AC7" s="12">
        <f>IF(A7&lt;('2. Inputs and results'!$B$23+1),AC6+(C7+Y7-$V$6)," ")</f>
        <v>13113.84</v>
      </c>
      <c r="AD7" s="11">
        <f>IF(A7&lt;('2. Inputs and results'!$B$23+1),AC7/L7,NA())</f>
        <v>8.384808184143222E-2</v>
      </c>
      <c r="AE7">
        <f>IF(A7&lt;('2. Inputs and results'!$B$23+1),-'2. Inputs and results'!$B$124*A7," ")</f>
        <v>-40800</v>
      </c>
      <c r="AF7">
        <f>IF(A7&lt;('2. Inputs and results'!$B$23+1),AE7/1000,NA())</f>
        <v>-40.799999999999997</v>
      </c>
    </row>
    <row r="8" spans="1:32">
      <c r="A8">
        <f t="shared" si="0"/>
        <v>3</v>
      </c>
      <c r="B8">
        <f>IF(A8&lt;('2. Inputs and results'!$B$23+1),A8," ")</f>
        <v>3</v>
      </c>
      <c r="C8" s="4">
        <f>IF(A8&lt;('2. Inputs and results'!$B$23+1),'2. Inputs and results'!$B$101+'2. Inputs and results'!$B$103," ")</f>
        <v>11460</v>
      </c>
      <c r="D8" s="4">
        <f>IF(A8&lt;('2. Inputs and results'!$B$23+1),D7+C8,NA())</f>
        <v>34380</v>
      </c>
      <c r="E8" s="4">
        <f>IF(B8&lt;('2. Inputs and results'!$B$23+1),C8/((1+$P$2)^A8)," ")</f>
        <v>10187.898270368683</v>
      </c>
      <c r="F8" s="4">
        <f>IF(A8&lt;('2. Inputs and results'!$B$23+1),F7+E8," ")</f>
        <v>31802.543240782885</v>
      </c>
      <c r="G8" s="4">
        <f>IF(A8&lt;('2. Inputs and results'!$B$23+1),G7*(1+'2. Inputs and results'!$B$46)," ")</f>
        <v>12412.53</v>
      </c>
      <c r="H8" s="4">
        <f>IF(A8&lt;('2. Inputs and results'!$B$23+1),H7*(1+'2. Inputs and results'!$B$58)," ")</f>
        <v>0</v>
      </c>
      <c r="I8" s="4">
        <f>IF(A8&lt;('2. Inputs and results'!$B$23+1),I7*(1+'2. Inputs and results'!$B$34)," ")</f>
        <v>-254.61600000000001</v>
      </c>
      <c r="J8" s="4">
        <f>IF(A8&lt;('2. Inputs and results'!$B$23+1),J7*(1+'2. Inputs and results'!$B$68)," ")</f>
        <v>0</v>
      </c>
      <c r="K8" s="4">
        <f>IF('Solution 1, (hidden)'!A8&lt;('2. Inputs and results'!$B$23+1),K7+(G8+I8+H8+J8),NA())</f>
        <v>35421.714</v>
      </c>
      <c r="L8" s="4">
        <f>IF(A8&lt;('2. Inputs and results'!$B$23+1),L7,NA())</f>
        <v>156400</v>
      </c>
      <c r="M8" s="4">
        <f>IF(A8&lt;('2. Inputs and results'!$B$23+1),'2. Inputs and results'!$B$77*'2. Inputs and results'!$B$75," ")</f>
        <v>1840</v>
      </c>
      <c r="N8" s="4">
        <f>IF(A8&lt;('2. Inputs and results'!$B$23+1),M8/((1+$P$2)^A8)," ")</f>
        <v>1635.7532999544833</v>
      </c>
      <c r="O8" s="4">
        <f>IF(A8&lt;('2. Inputs and results'!$B$23+1),'2. Inputs and results'!$B$75*'2. Inputs and results'!$B$77+O7," ")</f>
        <v>160080</v>
      </c>
      <c r="P8" s="4">
        <f>IF(A8&lt;('2. Inputs and results'!$B$23+1),(G8+I8+H8+J8)/((1+$P$2)^A8)," ")</f>
        <v>10808.341275034138</v>
      </c>
      <c r="Q8" s="4">
        <f>IF(A8&lt;('2. Inputs and results'!$B$23+1),Q7+P8," ")</f>
        <v>32740.84867148384</v>
      </c>
      <c r="R8" s="4">
        <f>IF(A8&lt;('2. Inputs and results'!$B$23+1),R7+G8+I8+J8+H8+T8-$V$6,NA())</f>
        <v>-135483.29320000001</v>
      </c>
      <c r="S8" s="4">
        <f>IF(A8&lt;('2. Inputs and results'!$B$23+1),'2. Inputs and results'!$B$81*(R7)," ")</f>
        <v>-2858.8472000000002</v>
      </c>
      <c r="T8" s="4">
        <f t="shared" si="1"/>
        <v>-2858.8472000000002</v>
      </c>
      <c r="U8" s="4">
        <f>IF(A8&lt;('2. Inputs and results'!$B$23+1),U7+(T8+I8+G8+H8+J8-$V$6)/((1+$P$2)^A8),NA())</f>
        <v>-137086.48334376421</v>
      </c>
      <c r="V8" s="4">
        <f>IF(A8&lt;('2. Inputs and results'!$B$23+1),V7+('2. Inputs and results'!$B$77*'2. Inputs and results'!$B$75)," ")</f>
        <v>5520</v>
      </c>
      <c r="W8" s="4">
        <f>IF(A8&lt;('2. Inputs and results'!$B$23+1),W7+C8+Y8-$V$6,NA())</f>
        <v>-136531.88320000001</v>
      </c>
      <c r="X8" s="4">
        <f>IF(A8&lt;('2. Inputs and results'!$B$23+1),'2. Inputs and results'!$B$81*W7," ")</f>
        <v>-2865.7231999999999</v>
      </c>
      <c r="Y8" s="4">
        <f t="shared" si="2"/>
        <v>-2865.7231999999999</v>
      </c>
      <c r="Z8" s="4">
        <f>IF(A8&lt;('2. Inputs and results'!$B$23+1),Z7+(C8-$V$6+Y8)/((1+$P$2)^A8),NA())</f>
        <v>-138030.90151342741</v>
      </c>
      <c r="AA8" s="4">
        <f>IF(A8&lt;('2. Inputs and results'!$B$23+1),AA7+(G8+I8+H8+T8-$V$6)," ")</f>
        <v>20916.7068</v>
      </c>
      <c r="AB8" s="11">
        <f>IF(A8&lt;('2. Inputs and results'!$B$23+1),AA8/L8,NA())</f>
        <v>0.13373853452685422</v>
      </c>
      <c r="AC8" s="12">
        <f>IF(A8&lt;('2. Inputs and results'!$B$23+1),AC7+(C8+Y8-$V$6)," ")</f>
        <v>19868.1168</v>
      </c>
      <c r="AD8" s="11">
        <f>IF(A8&lt;('2. Inputs and results'!$B$23+1),AC8/L8,NA())</f>
        <v>0.12703399488491049</v>
      </c>
      <c r="AE8">
        <f>IF(A8&lt;('2. Inputs and results'!$B$23+1),-'2. Inputs and results'!$B$124*A8," ")</f>
        <v>-61200</v>
      </c>
      <c r="AF8">
        <f>IF(A8&lt;('2. Inputs and results'!$B$23+1),AE8/1000,NA())</f>
        <v>-61.2</v>
      </c>
    </row>
    <row r="9" spans="1:32">
      <c r="A9">
        <f t="shared" si="0"/>
        <v>4</v>
      </c>
      <c r="B9">
        <f>IF(A9&lt;('2. Inputs and results'!$B$23+1),A9," ")</f>
        <v>4</v>
      </c>
      <c r="C9" s="4">
        <f>IF(A9&lt;('2. Inputs and results'!$B$23+1),'2. Inputs and results'!$B$101+'2. Inputs and results'!$B$103," ")</f>
        <v>11460</v>
      </c>
      <c r="D9" s="4">
        <f>IF(A9&lt;('2. Inputs and results'!$B$23+1),D8+C9,NA())</f>
        <v>45840</v>
      </c>
      <c r="E9" s="4">
        <f>IF(B9&lt;('2. Inputs and results'!$B$23+1),C9/((1+$P$2)^A9)," ")</f>
        <v>9796.0560292006558</v>
      </c>
      <c r="F9" s="4">
        <f>IF(A9&lt;('2. Inputs and results'!$B$23+1),F8+E9," ")</f>
        <v>41598.599269983541</v>
      </c>
      <c r="G9" s="4">
        <f>IF(A9&lt;('2. Inputs and results'!$B$23+1),G8*(1+'2. Inputs and results'!$B$46)," ")</f>
        <v>12784.905900000002</v>
      </c>
      <c r="H9" s="4">
        <f>IF(A9&lt;('2. Inputs and results'!$B$23+1),H8*(1+'2. Inputs and results'!$B$58)," ")</f>
        <v>0</v>
      </c>
      <c r="I9" s="4">
        <f>IF(A9&lt;('2. Inputs and results'!$B$23+1),I8*(1+'2. Inputs and results'!$B$34)," ")</f>
        <v>-262.25448</v>
      </c>
      <c r="J9" s="4">
        <f>IF(A9&lt;('2. Inputs and results'!$B$23+1),J8*(1+'2. Inputs and results'!$B$68)," ")</f>
        <v>0</v>
      </c>
      <c r="K9" s="4">
        <f>IF('Solution 1, (hidden)'!A9&lt;('2. Inputs and results'!$B$23+1),K8+(G9+I9+H9+J9),NA())</f>
        <v>47944.365420000002</v>
      </c>
      <c r="L9" s="4">
        <f>IF(A9&lt;('2. Inputs and results'!$B$23+1),L8,NA())</f>
        <v>156400</v>
      </c>
      <c r="M9" s="4">
        <f>IF(A9&lt;('2. Inputs and results'!$B$23+1),'2. Inputs and results'!$B$77*'2. Inputs and results'!$B$75," ")</f>
        <v>1840</v>
      </c>
      <c r="N9" s="4">
        <f>IF(A9&lt;('2. Inputs and results'!$B$23+1),M9/((1+$P$2)^A9)," ")</f>
        <v>1572.8397114946952</v>
      </c>
      <c r="O9" s="4">
        <f>IF(A9&lt;('2. Inputs and results'!$B$23+1),'2. Inputs and results'!$B$75*'2. Inputs and results'!$B$77+O8," ")</f>
        <v>161920</v>
      </c>
      <c r="P9" s="4">
        <f>IF(A9&lt;('2. Inputs and results'!$B$23+1),(G9+I9+H9+J9)/((1+$P$2)^A9)," ")</f>
        <v>10704.414916620348</v>
      </c>
      <c r="Q9" s="4">
        <f>IF(A9&lt;('2. Inputs and results'!$B$23+1),Q8+P9," ")</f>
        <v>43445.263588104186</v>
      </c>
      <c r="R9" s="4">
        <f>IF(A9&lt;('2. Inputs and results'!$B$23+1),R8+G9+I9+J9+H9+T9-$V$6,NA())</f>
        <v>-127510.30764400001</v>
      </c>
      <c r="S9" s="4">
        <f>IF(A9&lt;('2. Inputs and results'!$B$23+1),'2. Inputs and results'!$B$81*(R8)," ")</f>
        <v>-2709.6658640000005</v>
      </c>
      <c r="T9" s="4">
        <f t="shared" si="1"/>
        <v>-2709.6658640000005</v>
      </c>
      <c r="U9" s="4">
        <f>IF(A9&lt;('2. Inputs and results'!$B$23+1),U8+(T9+I9+G9+H9+J9-$V$6)/((1+$P$2)^A9),NA())</f>
        <v>-130271.14187547594</v>
      </c>
      <c r="V9" s="4">
        <f>IF(A9&lt;('2. Inputs and results'!$B$23+1),V8+('2. Inputs and results'!$B$77*'2. Inputs and results'!$B$75)," ")</f>
        <v>7360</v>
      </c>
      <c r="W9" s="4">
        <f>IF(A9&lt;('2. Inputs and results'!$B$23+1),W8+C9+Y9-$V$6,NA())</f>
        <v>-129642.52086400001</v>
      </c>
      <c r="X9" s="4">
        <f>IF(A9&lt;('2. Inputs and results'!$B$23+1),'2. Inputs and results'!$B$81*W8," ")</f>
        <v>-2730.6376640000003</v>
      </c>
      <c r="Y9" s="4">
        <f t="shared" si="2"/>
        <v>-2730.6376640000003</v>
      </c>
      <c r="Z9" s="4">
        <f>IF(A9&lt;('2. Inputs and results'!$B$23+1),Z8+(C9-$V$6+Y9)/((1+$P$2)^A9),NA())</f>
        <v>-132141.84571509226</v>
      </c>
      <c r="AA9" s="4">
        <f>IF(A9&lt;('2. Inputs and results'!$B$23+1),AA8+(G9+I9+H9+T9-$V$6)," ")</f>
        <v>28889.692356</v>
      </c>
      <c r="AB9" s="11">
        <f>IF(A9&lt;('2. Inputs and results'!$B$23+1),AA9/L9,NA())</f>
        <v>0.18471670304347826</v>
      </c>
      <c r="AC9" s="12">
        <f>IF(A9&lt;('2. Inputs and results'!$B$23+1),AC8+(C9+Y9-$V$6)," ")</f>
        <v>26757.479136000002</v>
      </c>
      <c r="AD9" s="11">
        <f>IF(A9&lt;('2. Inputs and results'!$B$23+1),AC9/L9,NA())</f>
        <v>0.17108362618925832</v>
      </c>
      <c r="AE9">
        <f>IF(A9&lt;('2. Inputs and results'!$B$23+1),-'2. Inputs and results'!$B$124*A9," ")</f>
        <v>-81600</v>
      </c>
      <c r="AF9">
        <f>IF(A9&lt;('2. Inputs and results'!$B$23+1),AE9/1000,NA())</f>
        <v>-81.599999999999994</v>
      </c>
    </row>
    <row r="10" spans="1:32">
      <c r="A10">
        <f t="shared" si="0"/>
        <v>5</v>
      </c>
      <c r="B10">
        <f>IF(A10&lt;('2. Inputs and results'!$B$23+1),A10," ")</f>
        <v>5</v>
      </c>
      <c r="C10" s="4">
        <f>IF(A10&lt;('2. Inputs and results'!$B$23+1),'2. Inputs and results'!$B$101+'2. Inputs and results'!$B$103," ")</f>
        <v>11460</v>
      </c>
      <c r="D10" s="4">
        <f>IF(A10&lt;('2. Inputs and results'!$B$23+1),D9+C10,NA())</f>
        <v>57300</v>
      </c>
      <c r="E10" s="4">
        <f>IF(B10&lt;('2. Inputs and results'!$B$23+1),C10/((1+$P$2)^A10)," ")</f>
        <v>9419.2846434621679</v>
      </c>
      <c r="F10" s="4">
        <f>IF(A10&lt;('2. Inputs and results'!$B$23+1),F9+E10," ")</f>
        <v>51017.883913445708</v>
      </c>
      <c r="G10" s="4">
        <f>IF(A10&lt;('2. Inputs and results'!$B$23+1),G9*(1+'2. Inputs and results'!$B$46)," ")</f>
        <v>13168.453077000002</v>
      </c>
      <c r="H10" s="4">
        <f>IF(A10&lt;('2. Inputs and results'!$B$23+1),H9*(1+'2. Inputs and results'!$B$58)," ")</f>
        <v>0</v>
      </c>
      <c r="I10" s="4">
        <f>IF(A10&lt;('2. Inputs and results'!$B$23+1),I9*(1+'2. Inputs and results'!$B$34)," ")</f>
        <v>-270.12211439999999</v>
      </c>
      <c r="J10" s="4">
        <f>IF(A10&lt;('2. Inputs and results'!$B$23+1),J9*(1+'2. Inputs and results'!$B$68)," ")</f>
        <v>0</v>
      </c>
      <c r="K10" s="4">
        <f>IF('Solution 1, (hidden)'!A10&lt;('2. Inputs and results'!$B$23+1),K9+(G10+I10+H10+J10),NA())</f>
        <v>60842.696382600006</v>
      </c>
      <c r="L10" s="4">
        <f>IF(A10&lt;('2. Inputs and results'!$B$23+1),L9,NA())</f>
        <v>156400</v>
      </c>
      <c r="M10" s="4">
        <f>IF(A10&lt;('2. Inputs and results'!$B$23+1),'2. Inputs and results'!$B$77*'2. Inputs and results'!$B$75," ")</f>
        <v>1840</v>
      </c>
      <c r="N10" s="4">
        <f>IF(A10&lt;('2. Inputs and results'!$B$23+1),M10/((1+$P$2)^A10)," ")</f>
        <v>1512.3458764372069</v>
      </c>
      <c r="O10" s="4">
        <f>IF(A10&lt;('2. Inputs and results'!$B$23+1),'2. Inputs and results'!$B$75*'2. Inputs and results'!$B$77+O9," ")</f>
        <v>163760</v>
      </c>
      <c r="P10" s="4">
        <f>IF(A10&lt;('2. Inputs and results'!$B$23+1),(G10+I10+H10+J10)/((1+$P$2)^A10)," ")</f>
        <v>10601.487850114381</v>
      </c>
      <c r="Q10" s="4">
        <f>IF(A10&lt;('2. Inputs and results'!$B$23+1),Q9+P10," ")</f>
        <v>54046.751438218569</v>
      </c>
      <c r="R10" s="4">
        <f>IF(A10&lt;('2. Inputs and results'!$B$23+1),R9+G10+I10+J10+H10+T10-$V$6,NA())</f>
        <v>-119002.18283428001</v>
      </c>
      <c r="S10" s="4">
        <f>IF(A10&lt;('2. Inputs and results'!$B$23+1),'2. Inputs and results'!$B$81*(R9)," ")</f>
        <v>-2550.2061528800004</v>
      </c>
      <c r="T10" s="4">
        <f t="shared" si="1"/>
        <v>-2550.2061528800004</v>
      </c>
      <c r="U10" s="4">
        <f>IF(A10&lt;('2. Inputs and results'!$B$23+1),U9+(T10+I10+G10+H10+J10-$V$6)/((1+$P$2)^A10),NA())</f>
        <v>-123278.08346667532</v>
      </c>
      <c r="V10" s="4">
        <f>IF(A10&lt;('2. Inputs and results'!$B$23+1),V9+('2. Inputs and results'!$B$77*'2. Inputs and results'!$B$75)," ")</f>
        <v>9200</v>
      </c>
      <c r="W10" s="4">
        <f>IF(A10&lt;('2. Inputs and results'!$B$23+1),W9+C10+Y10-$V$6,NA())</f>
        <v>-122615.37128128001</v>
      </c>
      <c r="X10" s="4">
        <f>IF(A10&lt;('2. Inputs and results'!$B$23+1),'2. Inputs and results'!$B$81*W9," ")</f>
        <v>-2592.8504172800003</v>
      </c>
      <c r="Y10" s="4">
        <f t="shared" si="2"/>
        <v>-2592.8504172800003</v>
      </c>
      <c r="Z10" s="4">
        <f>IF(A10&lt;('2. Inputs and results'!$B$23+1),Z9+(C10-$V$6+Y10)/((1+$P$2)^A10),NA())</f>
        <v>-126366.04098980203</v>
      </c>
      <c r="AA10" s="4">
        <f>IF(A10&lt;('2. Inputs and results'!$B$23+1),AA9+(G10+I10+H10+T10-$V$6)," ")</f>
        <v>37397.81716572</v>
      </c>
      <c r="AB10" s="11">
        <f>IF(A10&lt;('2. Inputs and results'!$B$23+1),AA10/L10,NA())</f>
        <v>0.23911647804168798</v>
      </c>
      <c r="AC10" s="12">
        <f>IF(A10&lt;('2. Inputs and results'!$B$23+1),AC9+(C10+Y10-$V$6)," ")</f>
        <v>33784.62871872</v>
      </c>
      <c r="AD10" s="11">
        <f>IF(A10&lt;('2. Inputs and results'!$B$23+1),AC10/L10,NA())</f>
        <v>0.21601425011969308</v>
      </c>
      <c r="AE10">
        <f>IF(A10&lt;('2. Inputs and results'!$B$23+1),-'2. Inputs and results'!$B$124*A10," ")</f>
        <v>-102000</v>
      </c>
      <c r="AF10">
        <f>IF(A10&lt;('2. Inputs and results'!$B$23+1),AE10/1000,NA())</f>
        <v>-102</v>
      </c>
    </row>
    <row r="11" spans="1:32">
      <c r="A11">
        <f t="shared" si="0"/>
        <v>6</v>
      </c>
      <c r="B11">
        <f>IF(A11&lt;('2. Inputs and results'!$B$23+1),A11," ")</f>
        <v>6</v>
      </c>
      <c r="C11" s="4">
        <f>IF(A11&lt;('2. Inputs and results'!$B$23+1),'2. Inputs and results'!$B$101+'2. Inputs and results'!$B$103," ")</f>
        <v>11460</v>
      </c>
      <c r="D11" s="4">
        <f>IF(A11&lt;('2. Inputs and results'!$B$23+1),D10+C11,NA())</f>
        <v>68760</v>
      </c>
      <c r="E11" s="4">
        <f>IF(B11&lt;('2. Inputs and results'!$B$23+1),C11/((1+$P$2)^A11)," ")</f>
        <v>9057.0044648674702</v>
      </c>
      <c r="F11" s="4">
        <f>IF(A11&lt;('2. Inputs and results'!$B$23+1),F10+E11," ")</f>
        <v>60074.888378313175</v>
      </c>
      <c r="G11" s="4">
        <f>IF(A11&lt;('2. Inputs and results'!$B$23+1),G10*(1+'2. Inputs and results'!$B$46)," ")</f>
        <v>13563.506669310002</v>
      </c>
      <c r="H11" s="4">
        <f>IF(A11&lt;('2. Inputs and results'!$B$23+1),H10*(1+'2. Inputs and results'!$B$58)," ")</f>
        <v>0</v>
      </c>
      <c r="I11" s="4">
        <f>IF(A11&lt;('2. Inputs and results'!$B$23+1),I10*(1+'2. Inputs and results'!$B$34)," ")</f>
        <v>-278.22577783200001</v>
      </c>
      <c r="J11" s="4">
        <f>IF(A11&lt;('2. Inputs and results'!$B$23+1),J10*(1+'2. Inputs and results'!$B$68)," ")</f>
        <v>0</v>
      </c>
      <c r="K11" s="4">
        <f>IF('Solution 1, (hidden)'!A11&lt;('2. Inputs and results'!$B$23+1),K10+(G11+I11+H11+J11),NA())</f>
        <v>74127.977274078003</v>
      </c>
      <c r="L11" s="4">
        <f>IF(A11&lt;('2. Inputs and results'!$B$23+1),L10,NA())</f>
        <v>156400</v>
      </c>
      <c r="M11" s="4">
        <f>IF(A11&lt;('2. Inputs and results'!$B$23+1),'2. Inputs and results'!$B$77*'2. Inputs and results'!$B$75," ")</f>
        <v>1840</v>
      </c>
      <c r="N11" s="4">
        <f>IF(A11&lt;('2. Inputs and results'!$B$23+1),M11/((1+$P$2)^A11)," ")</f>
        <v>1454.1787273434682</v>
      </c>
      <c r="O11" s="4">
        <f>IF(A11&lt;('2. Inputs and results'!$B$23+1),'2. Inputs and results'!$B$75*'2. Inputs and results'!$B$77+O10," ")</f>
        <v>165600</v>
      </c>
      <c r="P11" s="4">
        <f>IF(A11&lt;('2. Inputs and results'!$B$23+1),(G11+I11+H11+J11)/((1+$P$2)^A11)," ")</f>
        <v>10499.550466940203</v>
      </c>
      <c r="Q11" s="4">
        <f>IF(A11&lt;('2. Inputs and results'!$B$23+1),Q10+P11," ")</f>
        <v>64546.301905158776</v>
      </c>
      <c r="R11" s="4">
        <f>IF(A11&lt;('2. Inputs and results'!$B$23+1),R10+G11+I11+J11+H11+T11-$V$6,NA())</f>
        <v>-109936.9455994876</v>
      </c>
      <c r="S11" s="4">
        <f>IF(A11&lt;('2. Inputs and results'!$B$23+1),'2. Inputs and results'!$B$81*(R10)," ")</f>
        <v>-2380.0436566856001</v>
      </c>
      <c r="T11" s="4">
        <f t="shared" si="1"/>
        <v>-2380.0436566856001</v>
      </c>
      <c r="U11" s="4">
        <f>IF(A11&lt;('2. Inputs and results'!$B$23+1),U10+(T11+I11+G11+H11+J11-$V$6)/((1+$P$2)^A11),NA())</f>
        <v>-116113.69480082911</v>
      </c>
      <c r="V11" s="4">
        <f>IF(A11&lt;('2. Inputs and results'!$B$23+1),V10+('2. Inputs and results'!$B$77*'2. Inputs and results'!$B$75)," ")</f>
        <v>11040</v>
      </c>
      <c r="W11" s="4">
        <f>IF(A11&lt;('2. Inputs and results'!$B$23+1),W10+C11+Y11-$V$6,NA())</f>
        <v>-115447.6787069056</v>
      </c>
      <c r="X11" s="4">
        <f>IF(A11&lt;('2. Inputs and results'!$B$23+1),'2. Inputs and results'!$B$81*W10," ")</f>
        <v>-2452.3074256256</v>
      </c>
      <c r="Y11" s="4">
        <f t="shared" si="2"/>
        <v>-2452.3074256256</v>
      </c>
      <c r="Z11" s="4">
        <f>IF(A11&lt;('2. Inputs and results'!$B$23+1),Z10+(C11-$V$6+Y11)/((1+$P$2)^A11),NA())</f>
        <v>-120701.30943230583</v>
      </c>
      <c r="AA11" s="4">
        <f>IF(A11&lt;('2. Inputs and results'!$B$23+1),AA10+(G11+I11+H11+T11-$V$6)," ")</f>
        <v>46463.054400512403</v>
      </c>
      <c r="AB11" s="11">
        <f>IF(A11&lt;('2. Inputs and results'!$B$23+1),AA11/L11,NA())</f>
        <v>0.29707835294445273</v>
      </c>
      <c r="AC11" s="12">
        <f>IF(A11&lt;('2. Inputs and results'!$B$23+1),AC10+(C11+Y11-$V$6)," ")</f>
        <v>40952.321293094399</v>
      </c>
      <c r="AD11" s="11">
        <f>IF(A11&lt;('2. Inputs and results'!$B$23+1),AC11/L11,NA())</f>
        <v>0.26184348652873657</v>
      </c>
      <c r="AE11">
        <f>IF(A11&lt;('2. Inputs and results'!$B$23+1),-'2. Inputs and results'!$B$124*A11," ")</f>
        <v>-122400</v>
      </c>
      <c r="AF11">
        <f>IF(A11&lt;('2. Inputs and results'!$B$23+1),AE11/1000,NA())</f>
        <v>-122.4</v>
      </c>
    </row>
    <row r="12" spans="1:32">
      <c r="A12">
        <f t="shared" si="0"/>
        <v>7</v>
      </c>
      <c r="B12">
        <f>IF(A12&lt;('2. Inputs and results'!$B$23+1),A12," ")</f>
        <v>7</v>
      </c>
      <c r="C12" s="4">
        <f>IF(A12&lt;('2. Inputs and results'!$B$23+1),'2. Inputs and results'!$B$101+'2. Inputs and results'!$B$103," ")</f>
        <v>11460</v>
      </c>
      <c r="D12" s="4">
        <f>IF(A12&lt;('2. Inputs and results'!$B$23+1),D11+C12,NA())</f>
        <v>80220</v>
      </c>
      <c r="E12" s="4">
        <f>IF(B12&lt;('2. Inputs and results'!$B$23+1),C12/((1+$P$2)^A12)," ")</f>
        <v>8708.658139295645</v>
      </c>
      <c r="F12" s="4">
        <f>IF(A12&lt;('2. Inputs and results'!$B$23+1),F11+E12," ")</f>
        <v>68783.546517608818</v>
      </c>
      <c r="G12" s="4">
        <f>IF(A12&lt;('2. Inputs and results'!$B$23+1),G11*(1+'2. Inputs and results'!$B$46)," ")</f>
        <v>13970.411869389302</v>
      </c>
      <c r="H12" s="4">
        <f>IF(A12&lt;('2. Inputs and results'!$B$23+1),H11*(1+'2. Inputs and results'!$B$58)," ")</f>
        <v>0</v>
      </c>
      <c r="I12" s="4">
        <f>IF(A12&lt;('2. Inputs and results'!$B$23+1),I11*(1+'2. Inputs and results'!$B$34)," ")</f>
        <v>-286.57255116696001</v>
      </c>
      <c r="J12" s="4">
        <f>IF(A12&lt;('2. Inputs and results'!$B$23+1),J11*(1+'2. Inputs and results'!$B$68)," ")</f>
        <v>0</v>
      </c>
      <c r="K12" s="4">
        <f>IF('Solution 1, (hidden)'!A12&lt;('2. Inputs and results'!$B$23+1),K11+(G12+I12+H12+J12),NA())</f>
        <v>87811.81659230034</v>
      </c>
      <c r="L12" s="4">
        <f>IF(A12&lt;('2. Inputs and results'!$B$23+1),L11,NA())</f>
        <v>156400</v>
      </c>
      <c r="M12" s="4">
        <f>IF(A12&lt;('2. Inputs and results'!$B$23+1),'2. Inputs and results'!$B$77*'2. Inputs and results'!$B$75," ")</f>
        <v>1840</v>
      </c>
      <c r="N12" s="4">
        <f>IF(A12&lt;('2. Inputs and results'!$B$23+1),M12/((1+$P$2)^A12)," ")</f>
        <v>1398.2487762917963</v>
      </c>
      <c r="O12" s="4">
        <f>IF(A12&lt;('2. Inputs and results'!$B$23+1),'2. Inputs and results'!$B$75*'2. Inputs and results'!$B$77+O11," ")</f>
        <v>167440</v>
      </c>
      <c r="P12" s="4">
        <f>IF(A12&lt;('2. Inputs and results'!$B$23+1),(G12+I12+H12+J12)/((1+$P$2)^A12)," ")</f>
        <v>10398.593250911934</v>
      </c>
      <c r="Q12" s="4">
        <f>IF(A12&lt;('2. Inputs and results'!$B$23+1),Q11+P12," ")</f>
        <v>74944.895156070706</v>
      </c>
      <c r="R12" s="4">
        <f>IF(A12&lt;('2. Inputs and results'!$B$23+1),R11+G12+I12+J12+H12+T12-$V$6,NA())</f>
        <v>-100291.84519325502</v>
      </c>
      <c r="S12" s="4">
        <f>IF(A12&lt;('2. Inputs and results'!$B$23+1),'2. Inputs and results'!$B$81*(R11)," ")</f>
        <v>-2198.7389119897521</v>
      </c>
      <c r="T12" s="4">
        <f t="shared" si="1"/>
        <v>-2198.7389119897521</v>
      </c>
      <c r="U12" s="4">
        <f>IF(A12&lt;('2. Inputs and results'!$B$23+1),U11+(T12+I12+G12+H12+J12-$V$6)/((1+$P$2)^A12),NA())</f>
        <v>-108784.21119201051</v>
      </c>
      <c r="V12" s="4">
        <f>IF(A12&lt;('2. Inputs and results'!$B$23+1),V11+('2. Inputs and results'!$B$77*'2. Inputs and results'!$B$75)," ")</f>
        <v>12880</v>
      </c>
      <c r="W12" s="4">
        <f>IF(A12&lt;('2. Inputs and results'!$B$23+1),W11+C12+Y12-$V$6,NA())</f>
        <v>-108136.63228104371</v>
      </c>
      <c r="X12" s="4">
        <f>IF(A12&lt;('2. Inputs and results'!$B$23+1),'2. Inputs and results'!$B$81*W11," ")</f>
        <v>-2308.9535741381119</v>
      </c>
      <c r="Y12" s="4">
        <f t="shared" si="2"/>
        <v>-2308.9535741381119</v>
      </c>
      <c r="Z12" s="4">
        <f>IF(A12&lt;('2. Inputs and results'!$B$23+1),Z11+(C12-$V$6+Y12)/((1+$P$2)^A12),NA())</f>
        <v>-115145.51502014611</v>
      </c>
      <c r="AA12" s="4">
        <f>IF(A12&lt;('2. Inputs and results'!$B$23+1),AA11+(G12+I12+H12+T12-$V$6)," ")</f>
        <v>56108.154806744991</v>
      </c>
      <c r="AB12" s="11">
        <f>IF(A12&lt;('2. Inputs and results'!$B$23+1),AA12/L12,NA())</f>
        <v>0.3587477928820012</v>
      </c>
      <c r="AC12" s="12">
        <f>IF(A12&lt;('2. Inputs and results'!$B$23+1),AC11+(C12+Y12-$V$6)," ")</f>
        <v>48263.367718956288</v>
      </c>
      <c r="AD12" s="11">
        <f>IF(A12&lt;('2. Inputs and results'!$B$23+1),AC12/L12,NA())</f>
        <v>0.30858930766596093</v>
      </c>
      <c r="AE12">
        <f>IF(A12&lt;('2. Inputs and results'!$B$23+1),-'2. Inputs and results'!$B$124*A12," ")</f>
        <v>-142800</v>
      </c>
      <c r="AF12">
        <f>IF(A12&lt;('2. Inputs and results'!$B$23+1),AE12/1000,NA())</f>
        <v>-142.80000000000001</v>
      </c>
    </row>
    <row r="13" spans="1:32">
      <c r="A13">
        <f t="shared" si="0"/>
        <v>8</v>
      </c>
      <c r="B13">
        <f>IF(A13&lt;('2. Inputs and results'!$B$23+1),A13," ")</f>
        <v>8</v>
      </c>
      <c r="C13" s="4">
        <f>IF(A13&lt;('2. Inputs and results'!$B$23+1),'2. Inputs and results'!$B$101+'2. Inputs and results'!$B$103," ")</f>
        <v>11460</v>
      </c>
      <c r="D13" s="4">
        <f>IF(A13&lt;('2. Inputs and results'!$B$23+1),D12+C13,NA())</f>
        <v>91680</v>
      </c>
      <c r="E13" s="4">
        <f>IF(B13&lt;('2. Inputs and results'!$B$23+1),C13/((1+$P$2)^A13)," ")</f>
        <v>8373.7097493227338</v>
      </c>
      <c r="F13" s="4">
        <f>IF(A13&lt;('2. Inputs and results'!$B$23+1),F12+E13," ")</f>
        <v>77157.256266931552</v>
      </c>
      <c r="G13" s="4">
        <f>IF(A13&lt;('2. Inputs and results'!$B$23+1),G12*(1+'2. Inputs and results'!$B$46)," ")</f>
        <v>14389.524225470981</v>
      </c>
      <c r="H13" s="4">
        <f>IF(A13&lt;('2. Inputs and results'!$B$23+1),H12*(1+'2. Inputs and results'!$B$58)," ")</f>
        <v>0</v>
      </c>
      <c r="I13" s="4">
        <f>IF(A13&lt;('2. Inputs and results'!$B$23+1),I12*(1+'2. Inputs and results'!$B$34)," ")</f>
        <v>-295.16972770196884</v>
      </c>
      <c r="J13" s="4">
        <f>IF(A13&lt;('2. Inputs and results'!$B$23+1),J12*(1+'2. Inputs and results'!$B$68)," ")</f>
        <v>0</v>
      </c>
      <c r="K13" s="4">
        <f>IF('Solution 1, (hidden)'!A13&lt;('2. Inputs and results'!$B$23+1),K12+(G13+I13+H13+J13),NA())</f>
        <v>101906.17109006936</v>
      </c>
      <c r="L13" s="4">
        <f>IF(A13&lt;('2. Inputs and results'!$B$23+1),L12,NA())</f>
        <v>156400</v>
      </c>
      <c r="M13" s="4">
        <f>IF(A13&lt;('2. Inputs and results'!$B$23+1),'2. Inputs and results'!$B$77*'2. Inputs and results'!$B$75," ")</f>
        <v>1840</v>
      </c>
      <c r="N13" s="4">
        <f>IF(A13&lt;('2. Inputs and results'!$B$23+1),M13/((1+$P$2)^A13)," ")</f>
        <v>1344.4699772036502</v>
      </c>
      <c r="O13" s="4">
        <f>IF(A13&lt;('2. Inputs and results'!$B$23+1),'2. Inputs and results'!$B$75*'2. Inputs and results'!$B$77+O12," ")</f>
        <v>169280</v>
      </c>
      <c r="P13" s="4">
        <f>IF(A13&lt;('2. Inputs and results'!$B$23+1),(G13+I13+H13+J13)/((1+$P$2)^A13)," ")</f>
        <v>10298.606777345472</v>
      </c>
      <c r="Q13" s="4">
        <f>IF(A13&lt;('2. Inputs and results'!$B$23+1),Q12+P13," ")</f>
        <v>85243.501933416177</v>
      </c>
      <c r="R13" s="4">
        <f>IF(A13&lt;('2. Inputs and results'!$B$23+1),R12+G13+I13+J13+H13+T13-$V$6,NA())</f>
        <v>-90043.327599351105</v>
      </c>
      <c r="S13" s="4">
        <f>IF(A13&lt;('2. Inputs and results'!$B$23+1),'2. Inputs and results'!$B$81*(R12)," ")</f>
        <v>-2005.8369038651006</v>
      </c>
      <c r="T13" s="4">
        <f t="shared" si="1"/>
        <v>-2005.8369038651006</v>
      </c>
      <c r="U13" s="4">
        <f>IF(A13&lt;('2. Inputs and results'!$B$23+1),U12+(T13+I13+G13+H13+J13-$V$6)/((1+$P$2)^A13),NA())</f>
        <v>-101295.71977035442</v>
      </c>
      <c r="V13" s="4">
        <f>IF(A13&lt;('2. Inputs and results'!$B$23+1),V12+('2. Inputs and results'!$B$77*'2. Inputs and results'!$B$75)," ")</f>
        <v>14720</v>
      </c>
      <c r="W13" s="4">
        <f>IF(A13&lt;('2. Inputs and results'!$B$23+1),W12+C13+Y13-$V$6,NA())</f>
        <v>-100679.36492666458</v>
      </c>
      <c r="X13" s="4">
        <f>IF(A13&lt;('2. Inputs and results'!$B$23+1),'2. Inputs and results'!$B$81*W12," ")</f>
        <v>-2162.7326456208743</v>
      </c>
      <c r="Y13" s="4">
        <f t="shared" si="2"/>
        <v>-2162.7326456208743</v>
      </c>
      <c r="Z13" s="4">
        <f>IF(A13&lt;('2. Inputs and results'!$B$23+1),Z12+(C13-$V$6+Y13)/((1+$P$2)^A13),NA())</f>
        <v>-109696.56280822022</v>
      </c>
      <c r="AA13" s="4">
        <f>IF(A13&lt;('2. Inputs and results'!$B$23+1),AA12+(G13+I13+H13+T13-$V$6)," ")</f>
        <v>66356.672400648909</v>
      </c>
      <c r="AB13" s="11">
        <f>IF(A13&lt;('2. Inputs and results'!$B$23+1),AA13/L13,NA())</f>
        <v>0.42427539898113115</v>
      </c>
      <c r="AC13" s="12">
        <f>IF(A13&lt;('2. Inputs and results'!$B$23+1),AC12+(C13+Y13-$V$6)," ")</f>
        <v>55720.635073335412</v>
      </c>
      <c r="AD13" s="11">
        <f>IF(A13&lt;('2. Inputs and results'!$B$23+1),AC13/L13,NA())</f>
        <v>0.35627004522592975</v>
      </c>
      <c r="AE13">
        <f>IF(A13&lt;('2. Inputs and results'!$B$23+1),-'2. Inputs and results'!$B$124*A13," ")</f>
        <v>-163200</v>
      </c>
      <c r="AF13">
        <f>IF(A13&lt;('2. Inputs and results'!$B$23+1),AE13/1000,NA())</f>
        <v>-163.19999999999999</v>
      </c>
    </row>
    <row r="14" spans="1:32">
      <c r="A14">
        <f t="shared" si="0"/>
        <v>9</v>
      </c>
      <c r="B14">
        <f>IF(A14&lt;('2. Inputs and results'!$B$23+1),A14," ")</f>
        <v>9</v>
      </c>
      <c r="C14" s="4">
        <f>IF(A14&lt;('2. Inputs and results'!$B$23+1),'2. Inputs and results'!$B$101+'2. Inputs and results'!$B$103," ")</f>
        <v>11460</v>
      </c>
      <c r="D14" s="4">
        <f>IF(A14&lt;('2. Inputs and results'!$B$23+1),D13+C14,NA())</f>
        <v>103140</v>
      </c>
      <c r="E14" s="4">
        <f>IF(B14&lt;('2. Inputs and results'!$B$23+1),C14/((1+$P$2)^A14)," ")</f>
        <v>8051.6439897333976</v>
      </c>
      <c r="F14" s="4">
        <f>IF(A14&lt;('2. Inputs and results'!$B$23+1),F13+E14," ")</f>
        <v>85208.900256664943</v>
      </c>
      <c r="G14" s="4">
        <f>IF(A14&lt;('2. Inputs and results'!$B$23+1),G13*(1+'2. Inputs and results'!$B$46)," ")</f>
        <v>14821.209952235111</v>
      </c>
      <c r="H14" s="4">
        <f>IF(A14&lt;('2. Inputs and results'!$B$23+1),H13*(1+'2. Inputs and results'!$B$58)," ")</f>
        <v>0</v>
      </c>
      <c r="I14" s="4">
        <f>IF(A14&lt;('2. Inputs and results'!$B$23+1),I13*(1+'2. Inputs and results'!$B$34)," ")</f>
        <v>-304.02481953302794</v>
      </c>
      <c r="J14" s="4">
        <f>IF(A14&lt;('2. Inputs and results'!$B$23+1),J13*(1+'2. Inputs and results'!$B$68)," ")</f>
        <v>0</v>
      </c>
      <c r="K14" s="4">
        <f>IF('Solution 1, (hidden)'!A14&lt;('2. Inputs and results'!$B$23+1),K13+(G14+I14+H14+J14),NA())</f>
        <v>116423.35622277144</v>
      </c>
      <c r="L14" s="4">
        <f>IF(A14&lt;('2. Inputs and results'!$B$23+1),L13,NA())</f>
        <v>156400</v>
      </c>
      <c r="M14" s="4">
        <f>IF(A14&lt;('2. Inputs and results'!$B$23+1),'2. Inputs and results'!$B$77*'2. Inputs and results'!$B$75," ")</f>
        <v>1840</v>
      </c>
      <c r="N14" s="4">
        <f>IF(A14&lt;('2. Inputs and results'!$B$23+1),M14/((1+$P$2)^A14)," ")</f>
        <v>1292.7595934650481</v>
      </c>
      <c r="O14" s="4">
        <f>IF(A14&lt;('2. Inputs and results'!$B$23+1),'2. Inputs and results'!$B$75*'2. Inputs and results'!$B$77+O13," ")</f>
        <v>171120</v>
      </c>
      <c r="P14" s="4">
        <f>IF(A14&lt;('2. Inputs and results'!$B$23+1),(G14+I14+H14+J14)/((1+$P$2)^A14)," ")</f>
        <v>10199.581712178688</v>
      </c>
      <c r="Q14" s="4">
        <f>IF(A14&lt;('2. Inputs and results'!$B$23+1),Q13+P14," ")</f>
        <v>95443.083645594859</v>
      </c>
      <c r="R14" s="4">
        <f>IF(A14&lt;('2. Inputs and results'!$B$23+1),R13+G14+I14+J14+H14+T14-$V$6,NA())</f>
        <v>-79167.009018636061</v>
      </c>
      <c r="S14" s="4">
        <f>IF(A14&lt;('2. Inputs and results'!$B$23+1),'2. Inputs and results'!$B$81*(R13)," ")</f>
        <v>-1800.8665519870221</v>
      </c>
      <c r="T14" s="4">
        <f t="shared" si="1"/>
        <v>-1800.8665519870221</v>
      </c>
      <c r="U14" s="4">
        <f>IF(A14&lt;('2. Inputs and results'!$B$23+1),U13+(T14+I14+G14+H14+J14-$V$6)/((1+$P$2)^A14),NA())</f>
        <v>-93654.162603614444</v>
      </c>
      <c r="V14" s="4">
        <f>IF(A14&lt;('2. Inputs and results'!$B$23+1),V13+('2. Inputs and results'!$B$77*'2. Inputs and results'!$B$75)," ")</f>
        <v>16560</v>
      </c>
      <c r="W14" s="4">
        <f>IF(A14&lt;('2. Inputs and results'!$B$23+1),W13+C14+Y14-$V$6,NA())</f>
        <v>-93072.952225197878</v>
      </c>
      <c r="X14" s="4">
        <f>IF(A14&lt;('2. Inputs and results'!$B$23+1),'2. Inputs and results'!$B$81*W13," ")</f>
        <v>-2013.5872985332917</v>
      </c>
      <c r="Y14" s="4">
        <f t="shared" si="2"/>
        <v>-2013.5872985332917</v>
      </c>
      <c r="Z14" s="4">
        <f>IF(A14&lt;('2. Inputs and results'!$B$23+1),Z13+(C14-$V$6+Y14)/((1+$P$2)^A14),NA())</f>
        <v>-104352.39813883137</v>
      </c>
      <c r="AA14" s="4">
        <f>IF(A14&lt;('2. Inputs and results'!$B$23+1),AA13+(G14+I14+H14+T14-$V$6)," ")</f>
        <v>77232.990981363968</v>
      </c>
      <c r="AB14" s="11">
        <f>IF(A14&lt;('2. Inputs and results'!$B$23+1),AA14/L14,NA())</f>
        <v>0.49381707788595885</v>
      </c>
      <c r="AC14" s="12">
        <f>IF(A14&lt;('2. Inputs and results'!$B$23+1),AC13+(C14+Y14-$V$6)," ")</f>
        <v>63327.047774802122</v>
      </c>
      <c r="AD14" s="11">
        <f>IF(A14&lt;('2. Inputs and results'!$B$23+1),AC14/L14,NA())</f>
        <v>0.40490439753709795</v>
      </c>
      <c r="AE14">
        <f>IF(A14&lt;('2. Inputs and results'!$B$23+1),-'2. Inputs and results'!$B$124*A14," ")</f>
        <v>-183600</v>
      </c>
      <c r="AF14">
        <f>IF(A14&lt;('2. Inputs and results'!$B$23+1),AE14/1000,NA())</f>
        <v>-183.6</v>
      </c>
    </row>
    <row r="15" spans="1:32">
      <c r="A15">
        <f t="shared" si="0"/>
        <v>10</v>
      </c>
      <c r="B15">
        <f>IF(A15&lt;('2. Inputs and results'!$B$23+1),A15," ")</f>
        <v>10</v>
      </c>
      <c r="C15" s="4">
        <f>IF(A15&lt;('2. Inputs and results'!$B$23+1),'2. Inputs and results'!$B$101+'2. Inputs and results'!$B$103," ")</f>
        <v>11460</v>
      </c>
      <c r="D15" s="4">
        <f>IF(A15&lt;('2. Inputs and results'!$B$23+1),D14+C15,NA())</f>
        <v>114600</v>
      </c>
      <c r="E15" s="4">
        <f>IF(B15&lt;('2. Inputs and results'!$B$23+1),C15/((1+$P$2)^A15)," ")</f>
        <v>7741.9653747436514</v>
      </c>
      <c r="F15" s="4">
        <f>IF(A15&lt;('2. Inputs and results'!$B$23+1),F14+E15," ")</f>
        <v>92950.865631408597</v>
      </c>
      <c r="G15" s="4">
        <f>IF(A15&lt;('2. Inputs and results'!$B$23+1),G14*(1+'2. Inputs and results'!$B$46)," ")</f>
        <v>15265.846250802164</v>
      </c>
      <c r="H15" s="4">
        <f>IF(A15&lt;('2. Inputs and results'!$B$23+1),H14*(1+'2. Inputs and results'!$B$58)," ")</f>
        <v>0</v>
      </c>
      <c r="I15" s="4">
        <f>IF(A15&lt;('2. Inputs and results'!$B$23+1),I14*(1+'2. Inputs and results'!$B$34)," ")</f>
        <v>-313.14556411901879</v>
      </c>
      <c r="J15" s="4">
        <f>IF(A15&lt;('2. Inputs and results'!$B$23+1),J14*(1+'2. Inputs and results'!$B$68)," ")</f>
        <v>0</v>
      </c>
      <c r="K15" s="4">
        <f>IF('Solution 1, (hidden)'!A15&lt;('2. Inputs and results'!$B$23+1),K14+(G15+I15+H15+J15),NA())</f>
        <v>131376.05690945458</v>
      </c>
      <c r="L15" s="4">
        <f>IF(A15&lt;('2. Inputs and results'!$B$23+1),L14,NA())</f>
        <v>156400</v>
      </c>
      <c r="M15" s="4">
        <f>IF(A15&lt;('2. Inputs and results'!$B$23+1),'2. Inputs and results'!$B$77*'2. Inputs and results'!$B$75," ")</f>
        <v>1840</v>
      </c>
      <c r="N15" s="4">
        <f>IF(A15&lt;('2. Inputs and results'!$B$23+1),M15/((1+$P$2)^A15)," ")</f>
        <v>1243.0380706394694</v>
      </c>
      <c r="O15" s="4">
        <f>IF(A15&lt;('2. Inputs and results'!$B$23+1),'2. Inputs and results'!$B$75*'2. Inputs and results'!$B$77+O14," ")</f>
        <v>172960</v>
      </c>
      <c r="P15" s="4">
        <f>IF(A15&lt;('2. Inputs and results'!$B$23+1),(G15+I15+H15+J15)/((1+$P$2)^A15)," ")</f>
        <v>10101.508811100046</v>
      </c>
      <c r="Q15" s="4">
        <f>IF(A15&lt;('2. Inputs and results'!$B$23+1),Q14+P15," ")</f>
        <v>105544.59245669491</v>
      </c>
      <c r="R15" s="4">
        <f>IF(A15&lt;('2. Inputs and results'!$B$23+1),R14+G15+I15+J15+H15+T15-$V$6,NA())</f>
        <v>-67637.648512325643</v>
      </c>
      <c r="S15" s="4">
        <f>IF(A15&lt;('2. Inputs and results'!$B$23+1),'2. Inputs and results'!$B$81*(R14)," ")</f>
        <v>-1583.3401803727213</v>
      </c>
      <c r="T15" s="4">
        <f t="shared" si="1"/>
        <v>-1583.3401803727213</v>
      </c>
      <c r="U15" s="4">
        <f>IF(A15&lt;('2. Inputs and results'!$B$23+1),U14+(T15+I15+G15+H15+J15-$V$6)/((1+$P$2)^A15),NA())</f>
        <v>-85865.33975607586</v>
      </c>
      <c r="V15" s="4">
        <f>IF(A15&lt;('2. Inputs and results'!$B$23+1),V14+('2. Inputs and results'!$B$77*'2. Inputs and results'!$B$75)," ")</f>
        <v>18400</v>
      </c>
      <c r="W15" s="4">
        <f>IF(A15&lt;('2. Inputs and results'!$B$23+1),W14+C15+Y15-$V$6,NA())</f>
        <v>-85314.411269701843</v>
      </c>
      <c r="X15" s="4">
        <f>IF(A15&lt;('2. Inputs and results'!$B$23+1),'2. Inputs and results'!$B$81*W14," ")</f>
        <v>-1861.4590445039576</v>
      </c>
      <c r="Y15" s="4">
        <f t="shared" si="2"/>
        <v>-1861.4590445039576</v>
      </c>
      <c r="Z15" s="4">
        <f>IF(A15&lt;('2. Inputs and results'!$B$23+1),Z14+(C15-$V$6+Y15)/((1+$P$2)^A15),NA())</f>
        <v>-99111.005866930762</v>
      </c>
      <c r="AA15" s="4">
        <f>IF(A15&lt;('2. Inputs and results'!$B$23+1),AA14+(G15+I15+H15+T15-$V$6)," ")</f>
        <v>88762.351487674387</v>
      </c>
      <c r="AB15" s="11">
        <f>IF(A15&lt;('2. Inputs and results'!$B$23+1),AA15/L15,NA())</f>
        <v>0.56753421667310988</v>
      </c>
      <c r="AC15" s="12">
        <f>IF(A15&lt;('2. Inputs and results'!$B$23+1),AC14+(C15+Y15-$V$6)," ")</f>
        <v>71085.588730298157</v>
      </c>
      <c r="AD15" s="11">
        <f>IF(A15&lt;('2. Inputs and results'!$B$23+1),AC15/L15,NA())</f>
        <v>0.45451143689448947</v>
      </c>
      <c r="AE15">
        <f>IF(A15&lt;('2. Inputs and results'!$B$23+1),-'2. Inputs and results'!$B$124*A15," ")</f>
        <v>-204000</v>
      </c>
      <c r="AF15">
        <f>IF(A15&lt;('2. Inputs and results'!$B$23+1),AE15/1000,NA())</f>
        <v>-204</v>
      </c>
    </row>
    <row r="16" spans="1:32">
      <c r="A16">
        <f t="shared" si="0"/>
        <v>11</v>
      </c>
      <c r="B16">
        <f>IF(A16&lt;('2. Inputs and results'!$B$23+1),A16," ")</f>
        <v>11</v>
      </c>
      <c r="C16" s="4">
        <f>IF(A16&lt;('2. Inputs and results'!$B$23+1),'2. Inputs and results'!$B$101+'2. Inputs and results'!$B$103," ")</f>
        <v>11460</v>
      </c>
      <c r="D16" s="4">
        <f>IF(A16&lt;('2. Inputs and results'!$B$23+1),D15+C16,NA())</f>
        <v>126060</v>
      </c>
      <c r="E16" s="4">
        <f>IF(B16&lt;('2. Inputs and results'!$B$23+1),C16/((1+$P$2)^A16)," ")</f>
        <v>7444.1974757150501</v>
      </c>
      <c r="F16" s="4">
        <f>IF(A16&lt;('2. Inputs and results'!$B$23+1),F15+E16," ")</f>
        <v>100395.06310712364</v>
      </c>
      <c r="G16" s="4">
        <f>IF(A16&lt;('2. Inputs and results'!$B$23+1),G15*(1+'2. Inputs and results'!$B$46)," ")</f>
        <v>15723.82163832623</v>
      </c>
      <c r="H16" s="4">
        <f>IF(A16&lt;('2. Inputs and results'!$B$23+1),H15*(1+'2. Inputs and results'!$B$58)," ")</f>
        <v>0</v>
      </c>
      <c r="I16" s="4">
        <f>IF(A16&lt;('2. Inputs and results'!$B$23+1),I15*(1+'2. Inputs and results'!$B$34)," ")</f>
        <v>-322.53993104258933</v>
      </c>
      <c r="J16" s="4">
        <f>IF(A16&lt;('2. Inputs and results'!$B$23+1),J15*(1+'2. Inputs and results'!$B$68)," ")</f>
        <v>0</v>
      </c>
      <c r="K16" s="4">
        <f>IF('Solution 1, (hidden)'!A16&lt;('2. Inputs and results'!$B$23+1),K15+(G16+I16+H16+J16),NA())</f>
        <v>146777.33861673821</v>
      </c>
      <c r="L16" s="4">
        <f>IF(A16&lt;('2. Inputs and results'!$B$23+1),L15,NA())</f>
        <v>156400</v>
      </c>
      <c r="M16" s="4">
        <f>IF(A16&lt;('2. Inputs and results'!$B$23+1),'2. Inputs and results'!$B$77*'2. Inputs and results'!$B$75," ")</f>
        <v>1840</v>
      </c>
      <c r="N16" s="4">
        <f>IF(A16&lt;('2. Inputs and results'!$B$23+1),M16/((1+$P$2)^A16)," ")</f>
        <v>1195.2289140764128</v>
      </c>
      <c r="O16" s="4">
        <f>IF(A16&lt;('2. Inputs and results'!$B$23+1),'2. Inputs and results'!$B$75*'2. Inputs and results'!$B$77+O15," ")</f>
        <v>174800</v>
      </c>
      <c r="P16" s="4">
        <f>IF(A16&lt;('2. Inputs and results'!$B$23+1),(G16+I16+H16+J16)/((1+$P$2)^A16)," ")</f>
        <v>10004.378918685625</v>
      </c>
      <c r="Q16" s="4">
        <f>IF(A16&lt;('2. Inputs and results'!$B$23+1),Q15+P16," ")</f>
        <v>115548.97137538054</v>
      </c>
      <c r="R16" s="4">
        <f>IF(A16&lt;('2. Inputs and results'!$B$23+1),R15+G16+I16+J16+H16+T16-$V$6,NA())</f>
        <v>-55429.119775288513</v>
      </c>
      <c r="S16" s="4">
        <f>IF(A16&lt;('2. Inputs and results'!$B$23+1),'2. Inputs and results'!$B$81*(R15)," ")</f>
        <v>-1352.7529702465129</v>
      </c>
      <c r="T16" s="4">
        <f t="shared" si="1"/>
        <v>-1352.7529702465129</v>
      </c>
      <c r="U16" s="4">
        <f>IF(A16&lt;('2. Inputs and results'!$B$23+1),U15+(T16+I16+G16+H16+J16-$V$6)/((1+$P$2)^A16),NA())</f>
        <v>-77934.912286054358</v>
      </c>
      <c r="V16" s="4">
        <f>IF(A16&lt;('2. Inputs and results'!$B$23+1),V15+('2. Inputs and results'!$B$77*'2. Inputs and results'!$B$75)," ")</f>
        <v>20240</v>
      </c>
      <c r="W16" s="4">
        <f>IF(A16&lt;('2. Inputs and results'!$B$23+1),W15+C16+Y16-$V$6,NA())</f>
        <v>-77400.699495095876</v>
      </c>
      <c r="X16" s="4">
        <f>IF(A16&lt;('2. Inputs and results'!$B$23+1),'2. Inputs and results'!$B$81*W15," ")</f>
        <v>-1706.288225394037</v>
      </c>
      <c r="Y16" s="4">
        <f t="shared" si="2"/>
        <v>-1706.288225394037</v>
      </c>
      <c r="Z16" s="4">
        <f>IF(A16&lt;('2. Inputs and results'!$B$23+1),Z15+(C16-$V$6+Y16)/((1+$P$2)^A16),NA())</f>
        <v>-93970.409600259023</v>
      </c>
      <c r="AA16" s="4">
        <f>IF(A16&lt;('2. Inputs and results'!$B$23+1),AA15+(G16+I16+H16+T16-$V$6)," ")</f>
        <v>100970.88022471151</v>
      </c>
      <c r="AB16" s="11">
        <f>IF(A16&lt;('2. Inputs and results'!$B$23+1),AA16/L16,NA())</f>
        <v>0.64559386332935742</v>
      </c>
      <c r="AC16" s="12">
        <f>IF(A16&lt;('2. Inputs and results'!$B$23+1),AC15+(C16+Y16-$V$6)," ")</f>
        <v>78999.300504904124</v>
      </c>
      <c r="AD16" s="11">
        <f>IF(A16&lt;('2. Inputs and results'!$B$23+1),AC16/L16,NA())</f>
        <v>0.50511061703902893</v>
      </c>
      <c r="AE16">
        <f>IF(A16&lt;('2. Inputs and results'!$B$23+1),-'2. Inputs and results'!$B$124*A16," ")</f>
        <v>-224400</v>
      </c>
      <c r="AF16">
        <f>IF(A16&lt;('2. Inputs and results'!$B$23+1),AE16/1000,NA())</f>
        <v>-224.4</v>
      </c>
    </row>
    <row r="17" spans="1:32">
      <c r="A17">
        <f t="shared" si="0"/>
        <v>12</v>
      </c>
      <c r="B17">
        <f>IF(A17&lt;('2. Inputs and results'!$B$23+1),A17," ")</f>
        <v>12</v>
      </c>
      <c r="C17" s="4">
        <f>IF(A17&lt;('2. Inputs and results'!$B$23+1),'2. Inputs and results'!$B$101+'2. Inputs and results'!$B$103," ")</f>
        <v>11460</v>
      </c>
      <c r="D17" s="4">
        <f>IF(A17&lt;('2. Inputs and results'!$B$23+1),D16+C17,NA())</f>
        <v>137520</v>
      </c>
      <c r="E17" s="4">
        <f>IF(B17&lt;('2. Inputs and results'!$B$23+1),C17/((1+$P$2)^A17)," ")</f>
        <v>7157.8821881875465</v>
      </c>
      <c r="F17" s="4">
        <f>IF(A17&lt;('2. Inputs and results'!$B$23+1),F16+E17," ")</f>
        <v>107552.94529531119</v>
      </c>
      <c r="G17" s="4">
        <f>IF(A17&lt;('2. Inputs and results'!$B$23+1),G16*(1+'2. Inputs and results'!$B$46)," ")</f>
        <v>16195.536287476018</v>
      </c>
      <c r="H17" s="4">
        <f>IF(A17&lt;('2. Inputs and results'!$B$23+1),H16*(1+'2. Inputs and results'!$B$58)," ")</f>
        <v>0</v>
      </c>
      <c r="I17" s="4">
        <f>IF(A17&lt;('2. Inputs and results'!$B$23+1),I16*(1+'2. Inputs and results'!$B$34)," ")</f>
        <v>-332.216128973867</v>
      </c>
      <c r="J17" s="4">
        <f>IF(A17&lt;('2. Inputs and results'!$B$23+1),J16*(1+'2. Inputs and results'!$B$68)," ")</f>
        <v>0</v>
      </c>
      <c r="K17" s="4">
        <f>IF('Solution 1, (hidden)'!A17&lt;('2. Inputs and results'!$B$23+1),K16+(G17+I17+H17+J17),NA())</f>
        <v>162640.65877524036</v>
      </c>
      <c r="L17" s="4">
        <f>IF(A17&lt;('2. Inputs and results'!$B$23+1),L16,NA())</f>
        <v>156400</v>
      </c>
      <c r="M17" s="4">
        <f>IF(A17&lt;('2. Inputs and results'!$B$23+1),'2. Inputs and results'!$B$77*'2. Inputs and results'!$B$75," ")</f>
        <v>1840</v>
      </c>
      <c r="N17" s="4">
        <f>IF(A17&lt;('2. Inputs and results'!$B$23+1),M17/((1+$P$2)^A17)," ")</f>
        <v>1149.2585712273199</v>
      </c>
      <c r="O17" s="4">
        <f>IF(A17&lt;('2. Inputs and results'!$B$23+1),'2. Inputs and results'!$B$75*'2. Inputs and results'!$B$77+O16," ")</f>
        <v>176640</v>
      </c>
      <c r="P17" s="4">
        <f>IF(A17&lt;('2. Inputs and results'!$B$23+1),(G17+I17+H17+J17)/((1+$P$2)^A17)," ")</f>
        <v>9908.1829675444151</v>
      </c>
      <c r="Q17" s="4">
        <f>IF(A17&lt;('2. Inputs and results'!$B$23+1),Q16+P17," ")</f>
        <v>125457.15434292496</v>
      </c>
      <c r="R17" s="4">
        <f>IF(A17&lt;('2. Inputs and results'!$B$23+1),R16+G17+I17+J17+H17+T17-$V$6,NA())</f>
        <v>-42514.382012292132</v>
      </c>
      <c r="S17" s="4">
        <f>IF(A17&lt;('2. Inputs and results'!$B$23+1),'2. Inputs and results'!$B$81*(R16)," ")</f>
        <v>-1108.5823955057704</v>
      </c>
      <c r="T17" s="4">
        <f t="shared" si="1"/>
        <v>-1108.5823955057704</v>
      </c>
      <c r="U17" s="4">
        <f>IF(A17&lt;('2. Inputs and results'!$B$23+1),U16+(T17+I17+G17+H17+J17-$V$6)/((1+$P$2)^A17),NA())</f>
        <v>-69868.405183186565</v>
      </c>
      <c r="V17" s="4">
        <f>IF(A17&lt;('2. Inputs and results'!$B$23+1),V16+('2. Inputs and results'!$B$77*'2. Inputs and results'!$B$75)," ")</f>
        <v>22080</v>
      </c>
      <c r="W17" s="4">
        <f>IF(A17&lt;('2. Inputs and results'!$B$23+1),W16+C17+Y17-$V$6,NA())</f>
        <v>-69328.713484997788</v>
      </c>
      <c r="X17" s="4">
        <f>IF(A17&lt;('2. Inputs and results'!$B$23+1),'2. Inputs and results'!$B$81*W16," ")</f>
        <v>-1548.0139899019175</v>
      </c>
      <c r="Y17" s="4">
        <f t="shared" si="2"/>
        <v>-1548.0139899019175</v>
      </c>
      <c r="Z17" s="4">
        <f>IF(A17&lt;('2. Inputs and results'!$B$23+1),Z16+(C17-$V$6+Y17)/((1+$P$2)^A17),NA())</f>
        <v>-88928.670954100206</v>
      </c>
      <c r="AA17" s="4">
        <f>IF(A17&lt;('2. Inputs and results'!$B$23+1),AA16+(G17+I17+H17+T17-$V$6)," ")</f>
        <v>113885.6179877079</v>
      </c>
      <c r="AB17" s="11">
        <f>IF(A17&lt;('2. Inputs and results'!$B$23+1),AA17/L17,NA())</f>
        <v>0.72816891296488429</v>
      </c>
      <c r="AC17" s="12">
        <f>IF(A17&lt;('2. Inputs and results'!$B$23+1),AC16+(C17+Y17-$V$6)," ")</f>
        <v>87071.286515002212</v>
      </c>
      <c r="AD17" s="11">
        <f>IF(A17&lt;('2. Inputs and results'!$B$23+1),AC17/L17,NA())</f>
        <v>0.55672178078645917</v>
      </c>
      <c r="AE17">
        <f>IF(A17&lt;('2. Inputs and results'!$B$23+1),-'2. Inputs and results'!$B$124*A17," ")</f>
        <v>-244800</v>
      </c>
      <c r="AF17">
        <f>IF(A17&lt;('2. Inputs and results'!$B$23+1),AE17/1000,NA())</f>
        <v>-244.8</v>
      </c>
    </row>
    <row r="18" spans="1:32">
      <c r="A18">
        <f t="shared" si="0"/>
        <v>13</v>
      </c>
      <c r="B18">
        <f>IF(A18&lt;('2. Inputs and results'!$B$23+1),A18," ")</f>
        <v>13</v>
      </c>
      <c r="C18" s="4">
        <f>IF(A18&lt;('2. Inputs and results'!$B$23+1),'2. Inputs and results'!$B$101+'2. Inputs and results'!$B$103," ")</f>
        <v>11460</v>
      </c>
      <c r="D18" s="4">
        <f>IF(A18&lt;('2. Inputs and results'!$B$23+1),D17+C18,NA())</f>
        <v>148980</v>
      </c>
      <c r="E18" s="4">
        <f>IF(B18&lt;('2. Inputs and results'!$B$23+1),C18/((1+$P$2)^A18)," ")</f>
        <v>6882.5790271034102</v>
      </c>
      <c r="F18" s="4">
        <f>IF(A18&lt;('2. Inputs and results'!$B$23+1),F17+E18," ")</f>
        <v>114435.5243224146</v>
      </c>
      <c r="G18" s="4">
        <f>IF(A18&lt;('2. Inputs and results'!$B$23+1),G17*(1+'2. Inputs and results'!$B$46)," ")</f>
        <v>16681.402376100297</v>
      </c>
      <c r="H18" s="4">
        <f>IF(A18&lt;('2. Inputs and results'!$B$23+1),H17*(1+'2. Inputs and results'!$B$58)," ")</f>
        <v>0</v>
      </c>
      <c r="I18" s="4">
        <f>IF(A18&lt;('2. Inputs and results'!$B$23+1),I17*(1+'2. Inputs and results'!$B$34)," ")</f>
        <v>-342.18261284308301</v>
      </c>
      <c r="J18" s="4">
        <f>IF(A18&lt;('2. Inputs and results'!$B$23+1),J17*(1+'2. Inputs and results'!$B$68)," ")</f>
        <v>0</v>
      </c>
      <c r="K18" s="4">
        <f>IF('Solution 1, (hidden)'!A18&lt;('2. Inputs and results'!$B$23+1),K17+(G18+I18+H18+J18),NA())</f>
        <v>178979.87853849758</v>
      </c>
      <c r="L18" s="4">
        <f>IF(A18&lt;('2. Inputs and results'!$B$23+1),L17,NA())</f>
        <v>156400</v>
      </c>
      <c r="M18" s="4">
        <f>IF(A18&lt;('2. Inputs and results'!$B$23+1),'2. Inputs and results'!$B$77*'2. Inputs and results'!$B$75," ")</f>
        <v>1840</v>
      </c>
      <c r="N18" s="4">
        <f>IF(A18&lt;('2. Inputs and results'!$B$23+1),M18/((1+$P$2)^A18)," ")</f>
        <v>1105.0563184878076</v>
      </c>
      <c r="O18" s="4">
        <f>IF(A18&lt;('2. Inputs and results'!$B$23+1),'2. Inputs and results'!$B$75*'2. Inputs and results'!$B$77+O17," ")</f>
        <v>178480</v>
      </c>
      <c r="P18" s="4">
        <f>IF(A18&lt;('2. Inputs and results'!$B$23+1),(G18+I18+H18+J18)/((1+$P$2)^A18)," ")</f>
        <v>9812.9119774718711</v>
      </c>
      <c r="Q18" s="4">
        <f>IF(A18&lt;('2. Inputs and results'!$B$23+1),Q17+P18," ")</f>
        <v>135270.06632039684</v>
      </c>
      <c r="R18" s="4">
        <f>IF(A18&lt;('2. Inputs and results'!$B$23+1),R17+G18+I18+J18+H18+T18-$V$6,NA())</f>
        <v>-28865.449889280761</v>
      </c>
      <c r="S18" s="4">
        <f>IF(A18&lt;('2. Inputs and results'!$B$23+1),'2. Inputs and results'!$B$81*(R17)," ")</f>
        <v>-850.28764024584268</v>
      </c>
      <c r="T18" s="4">
        <f t="shared" si="1"/>
        <v>-850.28764024584268</v>
      </c>
      <c r="U18" s="4">
        <f>IF(A18&lt;('2. Inputs and results'!$B$23+1),U17+(T18+I18+G18+H18+J18-$V$6)/((1+$P$2)^A18),NA())</f>
        <v>-61671.210246694762</v>
      </c>
      <c r="V18" s="4">
        <f>IF(A18&lt;('2. Inputs and results'!$B$23+1),V17+('2. Inputs and results'!$B$77*'2. Inputs and results'!$B$75)," ")</f>
        <v>23920</v>
      </c>
      <c r="W18" s="4">
        <f>IF(A18&lt;('2. Inputs and results'!$B$23+1),W17+C18+Y18-$V$6,NA())</f>
        <v>-61095.287754697747</v>
      </c>
      <c r="X18" s="4">
        <f>IF(A18&lt;('2. Inputs and results'!$B$23+1),'2. Inputs and results'!$B$81*W17," ")</f>
        <v>-1386.5742696999557</v>
      </c>
      <c r="Y18" s="4">
        <f t="shared" si="2"/>
        <v>-1386.5742696999557</v>
      </c>
      <c r="Z18" s="4">
        <f>IF(A18&lt;('2. Inputs and results'!$B$23+1),Z17+(C18-$V$6+Y18)/((1+$P$2)^A18),NA())</f>
        <v>-83983.888820367516</v>
      </c>
      <c r="AA18" s="4">
        <f>IF(A18&lt;('2. Inputs and results'!$B$23+1),AA17+(G18+I18+H18+T18-$V$6)," ")</f>
        <v>127534.55011071927</v>
      </c>
      <c r="AB18" s="11">
        <f>IF(A18&lt;('2. Inputs and results'!$B$23+1),AA18/L18,NA())</f>
        <v>0.8154382999406603</v>
      </c>
      <c r="AC18" s="12">
        <f>IF(A18&lt;('2. Inputs and results'!$B$23+1),AC17+(C18+Y18-$V$6)," ")</f>
        <v>95304.71224530226</v>
      </c>
      <c r="AD18" s="11">
        <f>IF(A18&lt;('2. Inputs and results'!$B$23+1),AC18/L18,NA())</f>
        <v>0.60936516780883798</v>
      </c>
      <c r="AE18">
        <f>IF(A18&lt;('2. Inputs and results'!$B$23+1),-'2. Inputs and results'!$B$124*A18," ")</f>
        <v>-265200</v>
      </c>
      <c r="AF18">
        <f>IF(A18&lt;('2. Inputs and results'!$B$23+1),AE18/1000,NA())</f>
        <v>-265.2</v>
      </c>
    </row>
    <row r="19" spans="1:32">
      <c r="A19">
        <f t="shared" si="0"/>
        <v>14</v>
      </c>
      <c r="B19">
        <f>IF(A19&lt;('2. Inputs and results'!$B$23+1),A19," ")</f>
        <v>14</v>
      </c>
      <c r="C19" s="4">
        <f>IF(A19&lt;('2. Inputs and results'!$B$23+1),'2. Inputs and results'!$B$101+'2. Inputs and results'!$B$103," ")</f>
        <v>11460</v>
      </c>
      <c r="D19" s="4">
        <f>IF(A19&lt;('2. Inputs and results'!$B$23+1),D18+C19,NA())</f>
        <v>160440</v>
      </c>
      <c r="E19" s="4">
        <f>IF(B19&lt;('2. Inputs and results'!$B$23+1),C19/((1+$P$2)^A19)," ")</f>
        <v>6617.8644491378946</v>
      </c>
      <c r="F19" s="4">
        <f>IF(A19&lt;('2. Inputs and results'!$B$23+1),F18+E19," ")</f>
        <v>121053.38877155249</v>
      </c>
      <c r="G19" s="4">
        <f>IF(A19&lt;('2. Inputs and results'!$B$23+1),G18*(1+'2. Inputs and results'!$B$46)," ")</f>
        <v>17181.844447383308</v>
      </c>
      <c r="H19" s="4">
        <f>IF(A19&lt;('2. Inputs and results'!$B$23+1),H18*(1+'2. Inputs and results'!$B$58)," ")</f>
        <v>0</v>
      </c>
      <c r="I19" s="4">
        <f>IF(A19&lt;('2. Inputs and results'!$B$23+1),I18*(1+'2. Inputs and results'!$B$34)," ")</f>
        <v>-352.44809122837552</v>
      </c>
      <c r="J19" s="4">
        <f>IF(A19&lt;('2. Inputs and results'!$B$23+1),J18*(1+'2. Inputs and results'!$B$68)," ")</f>
        <v>0</v>
      </c>
      <c r="K19" s="4">
        <f>IF('Solution 1, (hidden)'!A19&lt;('2. Inputs and results'!$B$23+1),K18+(G19+I19+H19+J19),NA())</f>
        <v>195809.27489465251</v>
      </c>
      <c r="L19" s="4">
        <f>IF(A19&lt;('2. Inputs and results'!$B$23+1),L18,NA())</f>
        <v>156400</v>
      </c>
      <c r="M19" s="4">
        <f>IF(A19&lt;('2. Inputs and results'!$B$23+1),'2. Inputs and results'!$B$77*'2. Inputs and results'!$B$75," ")</f>
        <v>1840</v>
      </c>
      <c r="N19" s="4">
        <f>IF(A19&lt;('2. Inputs and results'!$B$23+1),M19/((1+$P$2)^A19)," ")</f>
        <v>1062.5541523921227</v>
      </c>
      <c r="O19" s="4">
        <f>IF(A19&lt;('2. Inputs and results'!$B$23+1),'2. Inputs and results'!$B$75*'2. Inputs and results'!$B$77+O18," ")</f>
        <v>180320</v>
      </c>
      <c r="P19" s="4">
        <f>IF(A19&lt;('2. Inputs and results'!$B$23+1),(G19+I19+H19+J19)/((1+$P$2)^A19)," ")</f>
        <v>9718.557054611565</v>
      </c>
      <c r="Q19" s="4">
        <f>IF(A19&lt;('2. Inputs and results'!$B$23+1),Q18+P19," ")</f>
        <v>144988.62337500841</v>
      </c>
      <c r="R19" s="4">
        <f>IF(A19&lt;('2. Inputs and results'!$B$23+1),R18+G19+I19+J19+H19+T19-$V$6,NA())</f>
        <v>-14453.362530911443</v>
      </c>
      <c r="S19" s="4">
        <f>IF(A19&lt;('2. Inputs and results'!$B$23+1),'2. Inputs and results'!$B$81*(R18)," ")</f>
        <v>-577.30899778561525</v>
      </c>
      <c r="T19" s="4">
        <f t="shared" si="1"/>
        <v>-577.30899778561525</v>
      </c>
      <c r="U19" s="4">
        <f>IF(A19&lt;('2. Inputs and results'!$B$23+1),U18+(T19+I19+G19+H19+J19-$V$6)/((1+$P$2)^A19),NA())</f>
        <v>-53348.588905785342</v>
      </c>
      <c r="V19" s="4">
        <f>IF(A19&lt;('2. Inputs and results'!$B$23+1),V18+('2. Inputs and results'!$B$77*'2. Inputs and results'!$B$75)," ")</f>
        <v>25760</v>
      </c>
      <c r="W19" s="4">
        <f>IF(A19&lt;('2. Inputs and results'!$B$23+1),W18+C19+Y19-$V$6,NA())</f>
        <v>-52697.193509791701</v>
      </c>
      <c r="X19" s="4">
        <f>IF(A19&lt;('2. Inputs and results'!$B$23+1),'2. Inputs and results'!$B$81*W18," ")</f>
        <v>-1221.9057550939549</v>
      </c>
      <c r="Y19" s="4">
        <f t="shared" si="2"/>
        <v>-1221.9057550939549</v>
      </c>
      <c r="Z19" s="4">
        <f>IF(A19&lt;('2. Inputs and results'!$B$23+1),Z18+(C19-$V$6+Y19)/((1+$P$2)^A19),NA())</f>
        <v>-79134.198650745064</v>
      </c>
      <c r="AA19" s="4">
        <f>IF(A19&lt;('2. Inputs and results'!$B$23+1),AA18+(G19+I19+H19+T19-$V$6)," ")</f>
        <v>141946.6374690886</v>
      </c>
      <c r="AB19" s="11">
        <f>IF(A19&lt;('2. Inputs and results'!$B$23+1),AA19/L19,NA())</f>
        <v>0.90758719609391691</v>
      </c>
      <c r="AC19" s="12">
        <f>IF(A19&lt;('2. Inputs and results'!$B$23+1),AC18+(C19+Y19-$V$6)," ")</f>
        <v>103702.80649020831</v>
      </c>
      <c r="AD19" s="11">
        <f>IF(A19&lt;('2. Inputs and results'!$B$23+1),AC19/L19,NA())</f>
        <v>0.66306142257166445</v>
      </c>
      <c r="AE19">
        <f>IF(A19&lt;('2. Inputs and results'!$B$23+1),-'2. Inputs and results'!$B$124*A19," ")</f>
        <v>-285600</v>
      </c>
      <c r="AF19">
        <f>IF(A19&lt;('2. Inputs and results'!$B$23+1),AE19/1000,NA())</f>
        <v>-285.60000000000002</v>
      </c>
    </row>
    <row r="20" spans="1:32">
      <c r="A20">
        <f t="shared" si="0"/>
        <v>15</v>
      </c>
      <c r="B20">
        <f>IF(A20&lt;('2. Inputs and results'!$B$23+1),A20," ")</f>
        <v>15</v>
      </c>
      <c r="C20" s="4">
        <f>IF(A20&lt;('2. Inputs and results'!$B$23+1),'2. Inputs and results'!$B$101+'2. Inputs and results'!$B$103," ")</f>
        <v>11460</v>
      </c>
      <c r="D20" s="4">
        <f>IF(A20&lt;('2. Inputs and results'!$B$23+1),D19+C20,NA())</f>
        <v>171900</v>
      </c>
      <c r="E20" s="4">
        <f>IF(B20&lt;('2. Inputs and results'!$B$23+1),C20/((1+$P$2)^A20)," ")</f>
        <v>6363.331201094129</v>
      </c>
      <c r="F20" s="4">
        <f>IF(A20&lt;('2. Inputs and results'!$B$23+1),F19+E20," ")</f>
        <v>127416.71997264662</v>
      </c>
      <c r="G20" s="4">
        <f>IF(A20&lt;('2. Inputs and results'!$B$23+1),G19*(1+'2. Inputs and results'!$B$46)," ")</f>
        <v>17697.299780804806</v>
      </c>
      <c r="H20" s="4">
        <f>IF(A20&lt;('2. Inputs and results'!$B$23+1),H19*(1+'2. Inputs and results'!$B$58)," ")</f>
        <v>0</v>
      </c>
      <c r="I20" s="4">
        <f>IF(A20&lt;('2. Inputs and results'!$B$23+1),I19*(1+'2. Inputs and results'!$B$34)," ")</f>
        <v>-363.02153396522681</v>
      </c>
      <c r="J20" s="4">
        <f>IF(A20&lt;('2. Inputs and results'!$B$23+1),J19*(1+'2. Inputs and results'!$B$68)," ")</f>
        <v>0</v>
      </c>
      <c r="K20" s="4">
        <f>IF('Solution 1, (hidden)'!A20&lt;('2. Inputs and results'!$B$23+1),K19+(G20+I20+H20+J20),NA())</f>
        <v>213143.5531414921</v>
      </c>
      <c r="L20" s="4">
        <f>IF(A20&lt;('2. Inputs and results'!$B$23+1),L19,NA())</f>
        <v>156400</v>
      </c>
      <c r="M20" s="4">
        <f>IF(A20&lt;('2. Inputs and results'!$B$23+1),'2. Inputs and results'!$B$77*'2. Inputs and results'!$B$75," ")</f>
        <v>1840</v>
      </c>
      <c r="N20" s="4">
        <f>IF(A20&lt;('2. Inputs and results'!$B$23+1),M20/((1+$P$2)^A20)," ")</f>
        <v>1021.6866849924256</v>
      </c>
      <c r="O20" s="4">
        <f>IF(A20&lt;('2. Inputs and results'!$B$23+1),'2. Inputs and results'!$B$75*'2. Inputs and results'!$B$77+O19," ")</f>
        <v>182160</v>
      </c>
      <c r="P20" s="4">
        <f>IF(A20&lt;('2. Inputs and results'!$B$23+1),(G20+I20+H20+J20)/((1+$P$2)^A20)," ")</f>
        <v>9625.1093906249152</v>
      </c>
      <c r="Q20" s="4">
        <f>IF(A20&lt;('2. Inputs and results'!$B$23+1),Q19+P20," ")</f>
        <v>154613.73276563332</v>
      </c>
      <c r="R20" s="4">
        <f>IF(A20&lt;('2. Inputs and results'!$B$23+1),R19+G20+I20+J20+H20+T20-$V$6,NA())</f>
        <v>751.84846530990671</v>
      </c>
      <c r="S20" s="4">
        <f>IF(A20&lt;('2. Inputs and results'!$B$23+1),'2. Inputs and results'!$B$81*(R19)," ")</f>
        <v>-289.06725061822885</v>
      </c>
      <c r="T20" s="4">
        <f t="shared" si="1"/>
        <v>-289.06725061822885</v>
      </c>
      <c r="U20" s="4">
        <f>IF(A20&lt;('2. Inputs and results'!$B$23+1),U19+(T20+I20+G20+H20+J20-$V$6)/((1+$P$2)^A20),NA())</f>
        <v>-44905.67498331808</v>
      </c>
      <c r="V20" s="4">
        <f>IF(A20&lt;('2. Inputs and results'!$B$23+1),V19+('2. Inputs and results'!$B$77*'2. Inputs and results'!$B$75)," ")</f>
        <v>27600</v>
      </c>
      <c r="W20" s="4">
        <f>IF(A20&lt;('2. Inputs and results'!$B$23+1),W19+C20+Y20-$V$6,NA())</f>
        <v>-44131.137379987536</v>
      </c>
      <c r="X20" s="4">
        <f>IF(A20&lt;('2. Inputs and results'!$B$23+1),'2. Inputs and results'!$B$81*W19," ")</f>
        <v>-1053.9438701958341</v>
      </c>
      <c r="Y20" s="4">
        <f t="shared" si="2"/>
        <v>-1053.9438701958341</v>
      </c>
      <c r="Z20" s="4">
        <f>IF(A20&lt;('2. Inputs and results'!$B$23+1),Z19+(C20-$V$6+Y20)/((1+$P$2)^A20),NA())</f>
        <v>-74377.77175361535</v>
      </c>
      <c r="AA20" s="4">
        <f>IF(A20&lt;('2. Inputs and results'!$B$23+1),AA19+(G20+I20+H20+T20-$V$6)," ")</f>
        <v>157151.84846530994</v>
      </c>
      <c r="AB20" s="11">
        <f>IF(A20&lt;('2. Inputs and results'!$B$23+1),AA20/L20,NA())</f>
        <v>1.0048072152513423</v>
      </c>
      <c r="AC20" s="12">
        <f>IF(A20&lt;('2. Inputs and results'!$B$23+1),AC19+(C20+Y20-$V$6)," ")</f>
        <v>112268.86262001249</v>
      </c>
      <c r="AD20" s="11">
        <f>IF(A20&lt;('2. Inputs and results'!$B$23+1),AC20/L20,NA())</f>
        <v>0.71783160242974731</v>
      </c>
      <c r="AE20">
        <f>IF(A20&lt;('2. Inputs and results'!$B$23+1),-'2. Inputs and results'!$B$124*A20," ")</f>
        <v>-306000</v>
      </c>
      <c r="AF20">
        <f>IF(A20&lt;('2. Inputs and results'!$B$23+1),AE20/1000,NA())</f>
        <v>-306</v>
      </c>
    </row>
    <row r="21" spans="1:32">
      <c r="A21">
        <f t="shared" si="0"/>
        <v>16</v>
      </c>
      <c r="B21">
        <f>IF(A21&lt;('2. Inputs and results'!$B$23+1),A21," ")</f>
        <v>16</v>
      </c>
      <c r="C21" s="4">
        <f>IF(A21&lt;('2. Inputs and results'!$B$23+1),'2. Inputs and results'!$B$101+'2. Inputs and results'!$B$103," ")</f>
        <v>11460</v>
      </c>
      <c r="D21" s="4">
        <f>IF(A21&lt;('2. Inputs and results'!$B$23+1),D20+C21,NA())</f>
        <v>183360</v>
      </c>
      <c r="E21" s="4">
        <f>IF(B21&lt;('2. Inputs and results'!$B$23+1),C21/((1+$P$2)^A21)," ")</f>
        <v>6118.5876933597383</v>
      </c>
      <c r="F21" s="4">
        <f>IF(A21&lt;('2. Inputs and results'!$B$23+1),F20+E21," ")</f>
        <v>133535.30766600635</v>
      </c>
      <c r="G21" s="4">
        <f>IF(A21&lt;('2. Inputs and results'!$B$23+1),G20*(1+'2. Inputs and results'!$B$46)," ")</f>
        <v>18228.21877422895</v>
      </c>
      <c r="H21" s="4">
        <f>IF(A21&lt;('2. Inputs and results'!$B$23+1),H20*(1+'2. Inputs and results'!$B$58)," ")</f>
        <v>0</v>
      </c>
      <c r="I21" s="4">
        <f>IF(A21&lt;('2. Inputs and results'!$B$23+1),I20*(1+'2. Inputs and results'!$B$34)," ")</f>
        <v>-373.91217998418364</v>
      </c>
      <c r="J21" s="4">
        <f>IF(A21&lt;('2. Inputs and results'!$B$23+1),J20*(1+'2. Inputs and results'!$B$68)," ")</f>
        <v>0</v>
      </c>
      <c r="K21" s="4">
        <f>IF('Solution 1, (hidden)'!A21&lt;('2. Inputs and results'!$B$23+1),K20+(G21+I21+H21+J21),NA())</f>
        <v>230997.85973573686</v>
      </c>
      <c r="L21" s="4">
        <f>IF(A21&lt;('2. Inputs and results'!$B$23+1),L20,NA())</f>
        <v>156400</v>
      </c>
      <c r="M21" s="4">
        <f>IF(A21&lt;('2. Inputs and results'!$B$23+1),'2. Inputs and results'!$B$77*'2. Inputs and results'!$B$75," ")</f>
        <v>1840</v>
      </c>
      <c r="N21" s="4">
        <f>IF(A21&lt;('2. Inputs and results'!$B$23+1),M21/((1+$P$2)^A21)," ")</f>
        <v>982.39104326194752</v>
      </c>
      <c r="O21" s="4">
        <f>IF(A21&lt;('2. Inputs and results'!$B$23+1),'2. Inputs and results'!$B$75*'2. Inputs and results'!$B$77+O20," ")</f>
        <v>184000</v>
      </c>
      <c r="P21" s="4">
        <f>IF(A21&lt;('2. Inputs and results'!$B$23+1),(G21+I21+H21+J21)/((1+$P$2)^A21)," ")</f>
        <v>9532.5602618689045</v>
      </c>
      <c r="Q21" s="4">
        <f>IF(A21&lt;('2. Inputs and results'!$B$23+1),Q20+P21," ")</f>
        <v>164146.29302750222</v>
      </c>
      <c r="R21" s="4">
        <f>IF(A21&lt;('2. Inputs and results'!$B$23+1),R20+G21+I21+J21+H21+T21-$V$6,NA())</f>
        <v>16766.155059554672</v>
      </c>
      <c r="S21" s="4">
        <f>IF(A21&lt;('2. Inputs and results'!$B$23+1),'2. Inputs and results'!$B$81*(R20)," ")</f>
        <v>15.036969306198134</v>
      </c>
      <c r="T21" s="4">
        <f t="shared" si="1"/>
        <v>0</v>
      </c>
      <c r="U21" s="4">
        <f>IF(A21&lt;('2. Inputs and results'!$B$23+1),U20+(T21+I21+G21+H21+J21-$V$6)/((1+$P$2)^A21),NA())</f>
        <v>-36355.505764711124</v>
      </c>
      <c r="V21" s="4">
        <f>IF(A21&lt;('2. Inputs and results'!$B$23+1),V20+('2. Inputs and results'!$B$77*'2. Inputs and results'!$B$75)," ")</f>
        <v>29440</v>
      </c>
      <c r="W21" s="4">
        <f>IF(A21&lt;('2. Inputs and results'!$B$23+1),W20+C21+Y21-$V$6,NA())</f>
        <v>-35393.760127587288</v>
      </c>
      <c r="X21" s="4">
        <f>IF(A21&lt;('2. Inputs and results'!$B$23+1),'2. Inputs and results'!$B$81*W20," ")</f>
        <v>-882.62274759975071</v>
      </c>
      <c r="Y21" s="4">
        <f t="shared" si="2"/>
        <v>-882.62274759975071</v>
      </c>
      <c r="Z21" s="4">
        <f>IF(A21&lt;('2. Inputs and results'!$B$23+1),Z20+(C21-$V$6+Y21)/((1+$P$2)^A21),NA())</f>
        <v>-69712.814604507366</v>
      </c>
      <c r="AA21" s="4">
        <f>IF(A21&lt;('2. Inputs and results'!$B$23+1),AA20+(G21+I21+H21+T21-$V$6)," ")</f>
        <v>173166.1550595547</v>
      </c>
      <c r="AB21" s="11">
        <f>IF(A21&lt;('2. Inputs and results'!$B$23+1),AA21/L21,NA())</f>
        <v>1.1072004799204265</v>
      </c>
      <c r="AC21" s="12">
        <f>IF(A21&lt;('2. Inputs and results'!$B$23+1),AC20+(C21+Y21-$V$6)," ")</f>
        <v>121006.23987241273</v>
      </c>
      <c r="AD21" s="11">
        <f>IF(A21&lt;('2. Inputs and results'!$B$23+1),AC21/L21,NA())</f>
        <v>0.77369718588499181</v>
      </c>
      <c r="AE21">
        <f>IF(A21&lt;('2. Inputs and results'!$B$23+1),-'2. Inputs and results'!$B$124*A21," ")</f>
        <v>-326400</v>
      </c>
      <c r="AF21">
        <f>IF(A21&lt;('2. Inputs and results'!$B$23+1),AE21/1000,NA())</f>
        <v>-326.39999999999998</v>
      </c>
    </row>
    <row r="22" spans="1:32">
      <c r="A22">
        <f t="shared" si="0"/>
        <v>17</v>
      </c>
      <c r="B22">
        <f>IF(A22&lt;('2. Inputs and results'!$B$23+1),A22," ")</f>
        <v>17</v>
      </c>
      <c r="C22" s="4">
        <f>IF(A22&lt;('2. Inputs and results'!$B$23+1),'2. Inputs and results'!$B$101+'2. Inputs and results'!$B$103," ")</f>
        <v>11460</v>
      </c>
      <c r="D22" s="4">
        <f>IF(A22&lt;('2. Inputs and results'!$B$23+1),D21+C22,NA())</f>
        <v>194820</v>
      </c>
      <c r="E22" s="4">
        <f>IF(B22&lt;('2. Inputs and results'!$B$23+1),C22/((1+$P$2)^A22)," ")</f>
        <v>5883.2573974612869</v>
      </c>
      <c r="F22" s="4">
        <f>IF(A22&lt;('2. Inputs and results'!$B$23+1),F21+E22," ")</f>
        <v>139418.56506346763</v>
      </c>
      <c r="G22" s="4">
        <f>IF(A22&lt;('2. Inputs and results'!$B$23+1),G21*(1+'2. Inputs and results'!$B$46)," ")</f>
        <v>18775.065337455821</v>
      </c>
      <c r="H22" s="4">
        <f>IF(A22&lt;('2. Inputs and results'!$B$23+1),H21*(1+'2. Inputs and results'!$B$58)," ")</f>
        <v>0</v>
      </c>
      <c r="I22" s="4">
        <f>IF(A22&lt;('2. Inputs and results'!$B$23+1),I21*(1+'2. Inputs and results'!$B$34)," ")</f>
        <v>-385.12954538370917</v>
      </c>
      <c r="J22" s="4">
        <f>IF(A22&lt;('2. Inputs and results'!$B$23+1),J21*(1+'2. Inputs and results'!$B$68)," ")</f>
        <v>0</v>
      </c>
      <c r="K22" s="4">
        <f>IF('Solution 1, (hidden)'!A22&lt;('2. Inputs and results'!$B$23+1),K21+(G22+I22+H22+J22),NA())</f>
        <v>249387.79552780898</v>
      </c>
      <c r="L22" s="4">
        <f>IF(A22&lt;('2. Inputs and results'!$B$23+1),L21,NA())</f>
        <v>156400</v>
      </c>
      <c r="M22" s="4">
        <f>IF(A22&lt;('2. Inputs and results'!$B$23+1),'2. Inputs and results'!$B$77*'2. Inputs and results'!$B$75," ")</f>
        <v>1840</v>
      </c>
      <c r="N22" s="4">
        <f>IF(A22&lt;('2. Inputs and results'!$B$23+1),M22/((1+$P$2)^A22)," ")</f>
        <v>944.60677236725724</v>
      </c>
      <c r="O22" s="4">
        <f>IF(A22&lt;('2. Inputs and results'!$B$23+1),'2. Inputs and results'!$B$75*'2. Inputs and results'!$B$77+O21," ")</f>
        <v>185840</v>
      </c>
      <c r="P22" s="4">
        <f>IF(A22&lt;('2. Inputs and results'!$B$23+1),(G22+I22+H22+J22)/((1+$P$2)^A22)," ")</f>
        <v>9440.9010285817058</v>
      </c>
      <c r="Q22" s="4">
        <f>IF(A22&lt;('2. Inputs and results'!$B$23+1),Q21+P22," ")</f>
        <v>173587.19405608391</v>
      </c>
      <c r="R22" s="4">
        <f>IF(A22&lt;('2. Inputs and results'!$B$23+1),R21+G22+I22+J22+H22+T22-$V$6,NA())</f>
        <v>33316.090851626781</v>
      </c>
      <c r="S22" s="4">
        <f>IF(A22&lt;('2. Inputs and results'!$B$23+1),'2. Inputs and results'!$B$81*(R21)," ")</f>
        <v>335.32310119109343</v>
      </c>
      <c r="T22" s="4">
        <f t="shared" si="1"/>
        <v>0</v>
      </c>
      <c r="U22" s="4">
        <f>IF(A22&lt;('2. Inputs and results'!$B$23+1),U21+(T22+I22+G22+H22+J22-$V$6)/((1+$P$2)^A22),NA())</f>
        <v>-27859.211508496675</v>
      </c>
      <c r="V22" s="4">
        <f>IF(A22&lt;('2. Inputs and results'!$B$23+1),V21+('2. Inputs and results'!$B$77*'2. Inputs and results'!$B$75)," ")</f>
        <v>31280</v>
      </c>
      <c r="W22" s="4">
        <f>IF(A22&lt;('2. Inputs and results'!$B$23+1),W21+C22+Y22-$V$6,NA())</f>
        <v>-26481.635330139034</v>
      </c>
      <c r="X22" s="4">
        <f>IF(A22&lt;('2. Inputs and results'!$B$23+1),'2. Inputs and results'!$B$81*W21," ")</f>
        <v>-707.87520255174582</v>
      </c>
      <c r="Y22" s="4">
        <f t="shared" si="2"/>
        <v>-707.87520255174582</v>
      </c>
      <c r="Z22" s="4">
        <f>IF(A22&lt;('2. Inputs and results'!$B$23+1),Z21+(C22-$V$6+Y22)/((1+$P$2)^A22),NA())</f>
        <v>-65137.568169805309</v>
      </c>
      <c r="AA22" s="4">
        <f>IF(A22&lt;('2. Inputs and results'!$B$23+1),AA21+(G22+I22+H22+T22-$V$6)," ")</f>
        <v>189716.09085162682</v>
      </c>
      <c r="AB22" s="11">
        <f>IF(A22&lt;('2. Inputs and results'!$B$23+1),AA22/L22,NA())</f>
        <v>1.2130184837060538</v>
      </c>
      <c r="AC22" s="12">
        <f>IF(A22&lt;('2. Inputs and results'!$B$23+1),AC21+(C22+Y22-$V$6)," ")</f>
        <v>129918.36466986098</v>
      </c>
      <c r="AD22" s="11">
        <f>IF(A22&lt;('2. Inputs and results'!$B$23+1),AC22/L22,NA())</f>
        <v>0.83068008100934132</v>
      </c>
      <c r="AE22">
        <f>IF(A22&lt;('2. Inputs and results'!$B$23+1),-'2. Inputs and results'!$B$124*A22," ")</f>
        <v>-346800</v>
      </c>
      <c r="AF22">
        <f>IF(A22&lt;('2. Inputs and results'!$B$23+1),AE22/1000,NA())</f>
        <v>-346.8</v>
      </c>
    </row>
    <row r="23" spans="1:32">
      <c r="A23">
        <f t="shared" si="0"/>
        <v>18</v>
      </c>
      <c r="B23">
        <f>IF(A23&lt;('2. Inputs and results'!$B$23+1),A23," ")</f>
        <v>18</v>
      </c>
      <c r="C23" s="4">
        <f>IF(A23&lt;('2. Inputs and results'!$B$23+1),'2. Inputs and results'!$B$101+'2. Inputs and results'!$B$103," ")</f>
        <v>11460</v>
      </c>
      <c r="D23" s="4">
        <f>IF(A23&lt;('2. Inputs and results'!$B$23+1),D22+C23,NA())</f>
        <v>206280</v>
      </c>
      <c r="E23" s="4">
        <f>IF(B23&lt;('2. Inputs and results'!$B$23+1),C23/((1+$P$2)^A23)," ")</f>
        <v>5656.978266789698</v>
      </c>
      <c r="F23" s="4">
        <f>IF(A23&lt;('2. Inputs and results'!$B$23+1),F22+E23," ")</f>
        <v>145075.54333025732</v>
      </c>
      <c r="G23" s="4">
        <f>IF(A23&lt;('2. Inputs and results'!$B$23+1),G22*(1+'2. Inputs and results'!$B$46)," ")</f>
        <v>19338.317297579495</v>
      </c>
      <c r="H23" s="4">
        <f>IF(A23&lt;('2. Inputs and results'!$B$23+1),H22*(1+'2. Inputs and results'!$B$58)," ")</f>
        <v>0</v>
      </c>
      <c r="I23" s="4">
        <f>IF(A23&lt;('2. Inputs and results'!$B$23+1),I22*(1+'2. Inputs and results'!$B$34)," ")</f>
        <v>-396.68343174522045</v>
      </c>
      <c r="J23" s="4">
        <f>IF(A23&lt;('2. Inputs and results'!$B$23+1),J22*(1+'2. Inputs and results'!$B$68)," ")</f>
        <v>0</v>
      </c>
      <c r="K23" s="4">
        <f>IF('Solution 1, (hidden)'!A23&lt;('2. Inputs and results'!$B$23+1),K22+(G23+I23+H23+J23),NA())</f>
        <v>268329.42939364328</v>
      </c>
      <c r="L23" s="4">
        <f>IF(A23&lt;('2. Inputs and results'!$B$23+1),L22,NA())</f>
        <v>156400</v>
      </c>
      <c r="M23" s="4">
        <f>IF(A23&lt;('2. Inputs and results'!$B$23+1),'2. Inputs and results'!$B$77*'2. Inputs and results'!$B$75," ")</f>
        <v>1840</v>
      </c>
      <c r="N23" s="4">
        <f>IF(A23&lt;('2. Inputs and results'!$B$23+1),M23/((1+$P$2)^A23)," ")</f>
        <v>908.27574266082422</v>
      </c>
      <c r="O23" s="4">
        <f>IF(A23&lt;('2. Inputs and results'!$B$23+1),'2. Inputs and results'!$B$75*'2. Inputs and results'!$B$77+O22," ")</f>
        <v>187680</v>
      </c>
      <c r="P23" s="4">
        <f>IF(A23&lt;('2. Inputs and results'!$B$23+1),(G23+I23+H23+J23)/((1+$P$2)^A23)," ")</f>
        <v>9350.1231340761115</v>
      </c>
      <c r="Q23" s="4">
        <f>IF(A23&lt;('2. Inputs and results'!$B$23+1),Q22+P23," ")</f>
        <v>182937.31719016001</v>
      </c>
      <c r="R23" s="4">
        <f>IF(A23&lt;('2. Inputs and results'!$B$23+1),R22+G23+I23+J23+H23+T23-$V$6,NA())</f>
        <v>50417.724717461053</v>
      </c>
      <c r="S23" s="4">
        <f>IF(A23&lt;('2. Inputs and results'!$B$23+1),'2. Inputs and results'!$B$81*(R22)," ")</f>
        <v>666.32181703253559</v>
      </c>
      <c r="T23" s="4">
        <f t="shared" si="1"/>
        <v>0</v>
      </c>
      <c r="U23" s="4">
        <f>IF(A23&lt;('2. Inputs and results'!$B$23+1),U22+(T23+I23+G23+H23+J23-$V$6)/((1+$P$2)^A23),NA())</f>
        <v>-19417.364117081386</v>
      </c>
      <c r="V23" s="4">
        <f>IF(A23&lt;('2. Inputs and results'!$B$23+1),V22+('2. Inputs and results'!$B$77*'2. Inputs and results'!$B$75)," ")</f>
        <v>33120</v>
      </c>
      <c r="W23" s="4">
        <f>IF(A23&lt;('2. Inputs and results'!$B$23+1),W22+C23+Y23-$V$6,NA())</f>
        <v>-17391.268036741814</v>
      </c>
      <c r="X23" s="4">
        <f>IF(A23&lt;('2. Inputs and results'!$B$23+1),'2. Inputs and results'!$B$81*W22," ")</f>
        <v>-529.63270660278067</v>
      </c>
      <c r="Y23" s="4">
        <f t="shared" si="2"/>
        <v>-529.63270660278067</v>
      </c>
      <c r="Z23" s="4">
        <f>IF(A23&lt;('2. Inputs and results'!$B$23+1),Z22+(C23-$V$6+Y23)/((1+$P$2)^A23),NA())</f>
        <v>-60650.307243462899</v>
      </c>
      <c r="AA23" s="4">
        <f>IF(A23&lt;('2. Inputs and results'!$B$23+1),AA22+(G23+I23+H23+T23-$V$6)," ")</f>
        <v>206817.7247174611</v>
      </c>
      <c r="AB23" s="11">
        <f>IF(A23&lt;('2. Inputs and results'!$B$23+1),AA23/L23,NA())</f>
        <v>1.3223639687817206</v>
      </c>
      <c r="AC23" s="12">
        <f>IF(A23&lt;('2. Inputs and results'!$B$23+1),AC22+(C23+Y23-$V$6)," ")</f>
        <v>139008.73196325821</v>
      </c>
      <c r="AD23" s="11">
        <f>IF(A23&lt;('2. Inputs and results'!$B$23+1),AC23/L23,NA())</f>
        <v>0.88880263403617776</v>
      </c>
      <c r="AE23">
        <f>IF(A23&lt;('2. Inputs and results'!$B$23+1),-'2. Inputs and results'!$B$124*A23," ")</f>
        <v>-367200</v>
      </c>
      <c r="AF23">
        <f>IF(A23&lt;('2. Inputs and results'!$B$23+1),AE23/1000,NA())</f>
        <v>-367.2</v>
      </c>
    </row>
    <row r="24" spans="1:32">
      <c r="A24">
        <f t="shared" si="0"/>
        <v>19</v>
      </c>
      <c r="B24">
        <f>IF(A24&lt;('2. Inputs and results'!$B$23+1),A24," ")</f>
        <v>19</v>
      </c>
      <c r="C24" s="4">
        <f>IF(A24&lt;('2. Inputs and results'!$B$23+1),'2. Inputs and results'!$B$101+'2. Inputs and results'!$B$103," ")</f>
        <v>11460</v>
      </c>
      <c r="D24" s="4">
        <f>IF(A24&lt;('2. Inputs and results'!$B$23+1),D23+C24,NA())</f>
        <v>217740</v>
      </c>
      <c r="E24" s="4">
        <f>IF(B24&lt;('2. Inputs and results'!$B$23+1),C24/((1+$P$2)^A24)," ")</f>
        <v>5439.4021796054794</v>
      </c>
      <c r="F24" s="4">
        <f>IF(A24&lt;('2. Inputs and results'!$B$23+1),F23+E24," ")</f>
        <v>150514.9455098628</v>
      </c>
      <c r="G24" s="4">
        <f>IF(A24&lt;('2. Inputs and results'!$B$23+1),G23*(1+'2. Inputs and results'!$B$46)," ")</f>
        <v>19918.46681650688</v>
      </c>
      <c r="H24" s="4">
        <f>IF(A24&lt;('2. Inputs and results'!$B$23+1),H23*(1+'2. Inputs and results'!$B$58)," ")</f>
        <v>0</v>
      </c>
      <c r="I24" s="4">
        <f>IF(A24&lt;('2. Inputs and results'!$B$23+1),I23*(1+'2. Inputs and results'!$B$34)," ")</f>
        <v>-408.58393469757709</v>
      </c>
      <c r="J24" s="4">
        <f>IF(A24&lt;('2. Inputs and results'!$B$23+1),J23*(1+'2. Inputs and results'!$B$68)," ")</f>
        <v>0</v>
      </c>
      <c r="K24" s="4">
        <f>IF('Solution 1, (hidden)'!A24&lt;('2. Inputs and results'!$B$23+1),K23+(G24+I24+H24+J24),NA())</f>
        <v>287839.3122754526</v>
      </c>
      <c r="L24" s="4">
        <f>IF(A24&lt;('2. Inputs and results'!$B$23+1),L23,NA())</f>
        <v>156400</v>
      </c>
      <c r="M24" s="4">
        <f>IF(A24&lt;('2. Inputs and results'!$B$23+1),'2. Inputs and results'!$B$77*'2. Inputs and results'!$B$75," ")</f>
        <v>1840</v>
      </c>
      <c r="N24" s="4">
        <f>IF(A24&lt;('2. Inputs and results'!$B$23+1),M24/((1+$P$2)^A24)," ")</f>
        <v>873.34206025079254</v>
      </c>
      <c r="O24" s="4">
        <f>IF(A24&lt;('2. Inputs and results'!$B$23+1),'2. Inputs and results'!$B$75*'2. Inputs and results'!$B$77+O23," ")</f>
        <v>189520</v>
      </c>
      <c r="P24" s="4">
        <f>IF(A24&lt;('2. Inputs and results'!$B$23+1),(G24+I24+H24+J24)/((1+$P$2)^A24)," ")</f>
        <v>9260.2181039407642</v>
      </c>
      <c r="Q24" s="4">
        <f>IF(A24&lt;('2. Inputs and results'!$B$23+1),Q23+P24," ")</f>
        <v>192197.53529410079</v>
      </c>
      <c r="R24" s="4">
        <f>IF(A24&lt;('2. Inputs and results'!$B$23+1),R23+G24+I24+J24+H24+T24-$V$6,NA())</f>
        <v>68087.60759927037</v>
      </c>
      <c r="S24" s="4">
        <f>IF(A24&lt;('2. Inputs and results'!$B$23+1),'2. Inputs and results'!$B$81*(R23)," ")</f>
        <v>1008.3544943492211</v>
      </c>
      <c r="T24" s="4">
        <f t="shared" si="1"/>
        <v>0</v>
      </c>
      <c r="U24" s="4">
        <f>IF(A24&lt;('2. Inputs and results'!$B$23+1),U23+(T24+I24+G24+H24+J24-$V$6)/((1+$P$2)^A24),NA())</f>
        <v>-11030.488073391414</v>
      </c>
      <c r="V24" s="4">
        <f>IF(A24&lt;('2. Inputs and results'!$B$23+1),V23+('2. Inputs and results'!$B$77*'2. Inputs and results'!$B$75)," ")</f>
        <v>34960</v>
      </c>
      <c r="W24" s="4">
        <f>IF(A24&lt;('2. Inputs and results'!$B$23+1),W23+C24+Y24-$V$6,NA())</f>
        <v>-8119.0933974766504</v>
      </c>
      <c r="X24" s="4">
        <f>IF(A24&lt;('2. Inputs and results'!$B$23+1),'2. Inputs and results'!$B$81*W23," ")</f>
        <v>-347.82536073483629</v>
      </c>
      <c r="Y24" s="4">
        <f t="shared" si="2"/>
        <v>-347.82536073483629</v>
      </c>
      <c r="Z24" s="4">
        <f>IF(A24&lt;('2. Inputs and results'!$B$23+1),Z23+(C24-$V$6+Y24)/((1+$P$2)^A24),NA())</f>
        <v>-56249.339796473228</v>
      </c>
      <c r="AA24" s="4">
        <f>IF(A24&lt;('2. Inputs and results'!$B$23+1),AA23+(G24+I24+H24+T24-$V$6)," ")</f>
        <v>224487.60759927041</v>
      </c>
      <c r="AB24" s="11">
        <f>IF(A24&lt;('2. Inputs and results'!$B$23+1),AA24/L24,NA())</f>
        <v>1.4353427595861279</v>
      </c>
      <c r="AC24" s="12">
        <f>IF(A24&lt;('2. Inputs and results'!$B$23+1),AC23+(C24+Y24-$V$6)," ")</f>
        <v>148280.90660252338</v>
      </c>
      <c r="AD24" s="11">
        <f>IF(A24&lt;('2. Inputs and results'!$B$23+1),AC24/L24,NA())</f>
        <v>0.94808763812355101</v>
      </c>
      <c r="AE24">
        <f>IF(A24&lt;('2. Inputs and results'!$B$23+1),-'2. Inputs and results'!$B$124*A24," ")</f>
        <v>-387600</v>
      </c>
      <c r="AF24">
        <f>IF(A24&lt;('2. Inputs and results'!$B$23+1),AE24/1000,NA())</f>
        <v>-387.6</v>
      </c>
    </row>
    <row r="25" spans="1:32">
      <c r="A25">
        <f t="shared" si="0"/>
        <v>20</v>
      </c>
      <c r="B25">
        <f>IF(A25&lt;('2. Inputs and results'!$B$23+1),A25," ")</f>
        <v>20</v>
      </c>
      <c r="C25" s="4">
        <f>IF(A25&lt;('2. Inputs and results'!$B$23+1),'2. Inputs and results'!$B$101+'2. Inputs and results'!$B$103," ")</f>
        <v>11460</v>
      </c>
      <c r="D25" s="4">
        <f>IF(A25&lt;('2. Inputs and results'!$B$23+1),D24+C25,NA())</f>
        <v>229200</v>
      </c>
      <c r="E25" s="4">
        <f>IF(B25&lt;('2. Inputs and results'!$B$23+1),C25/((1+$P$2)^A25)," ")</f>
        <v>5230.1944034668068</v>
      </c>
      <c r="F25" s="4">
        <f>IF(A25&lt;('2. Inputs and results'!$B$23+1),F24+E25," ")</f>
        <v>155745.13991332959</v>
      </c>
      <c r="G25" s="4">
        <f>IF(A25&lt;('2. Inputs and results'!$B$23+1),G24*(1+'2. Inputs and results'!$B$46)," ")</f>
        <v>20516.020821002086</v>
      </c>
      <c r="H25" s="4">
        <f>IF(A25&lt;('2. Inputs and results'!$B$23+1),H24*(1+'2. Inputs and results'!$B$58)," ")</f>
        <v>0</v>
      </c>
      <c r="I25" s="4">
        <f>IF(A25&lt;('2. Inputs and results'!$B$23+1),I24*(1+'2. Inputs and results'!$B$34)," ")</f>
        <v>-420.84145273850442</v>
      </c>
      <c r="J25" s="4">
        <f>IF(A25&lt;('2. Inputs and results'!$B$23+1),J24*(1+'2. Inputs and results'!$B$68)," ")</f>
        <v>0</v>
      </c>
      <c r="K25" s="4">
        <f>IF('Solution 1, (hidden)'!A25&lt;('2. Inputs and results'!$B$23+1),K24+(G25+I25+H25+J25),NA())</f>
        <v>307934.49164371617</v>
      </c>
      <c r="L25" s="4">
        <f>IF(A25&lt;('2. Inputs and results'!$B$23+1),L24,NA())</f>
        <v>156400</v>
      </c>
      <c r="M25" s="4">
        <f>IF(A25&lt;('2. Inputs and results'!$B$23+1),'2. Inputs and results'!$B$77*'2. Inputs and results'!$B$75," ")</f>
        <v>1840</v>
      </c>
      <c r="N25" s="4">
        <f>IF(A25&lt;('2. Inputs and results'!$B$23+1),M25/((1+$P$2)^A25)," ")</f>
        <v>839.75198101037745</v>
      </c>
      <c r="O25" s="4">
        <f>IF(A25&lt;('2. Inputs and results'!$B$23+1),'2. Inputs and results'!$B$75*'2. Inputs and results'!$B$77+O24," ")</f>
        <v>191360</v>
      </c>
      <c r="P25" s="4">
        <f>IF(A25&lt;('2. Inputs and results'!$B$23+1),(G25+I25+H25+J25)/((1+$P$2)^A25)," ")</f>
        <v>9171.1775452490256</v>
      </c>
      <c r="Q25" s="4">
        <f>IF(A25&lt;('2. Inputs and results'!$B$23+1),Q24+P25," ")</f>
        <v>201368.71283934981</v>
      </c>
      <c r="R25" s="4">
        <f>IF(A25&lt;('2. Inputs and results'!$B$23+1),R24+G25+I25+J25+H25+T25-$V$6,NA())</f>
        <v>86342.786967533961</v>
      </c>
      <c r="S25" s="4">
        <f>IF(A25&lt;('2. Inputs and results'!$B$23+1),'2. Inputs and results'!$B$81*(R24)," ")</f>
        <v>1361.7521519854074</v>
      </c>
      <c r="T25" s="4">
        <f t="shared" si="1"/>
        <v>0</v>
      </c>
      <c r="U25" s="4">
        <f>IF(A25&lt;('2. Inputs and results'!$B$23+1),U24+(T25+I25+G25+H25+J25-$V$6)/((1+$P$2)^A25),NA())</f>
        <v>-2699.0625091527654</v>
      </c>
      <c r="V25" s="4">
        <f>IF(A25&lt;('2. Inputs and results'!$B$23+1),V24+('2. Inputs and results'!$B$77*'2. Inputs and results'!$B$75)," ")</f>
        <v>36800</v>
      </c>
      <c r="W25" s="4">
        <f>IF(A25&lt;('2. Inputs and results'!$B$23+1),W24+C25+Y25-$V$6,NA())</f>
        <v>1338.5247345738167</v>
      </c>
      <c r="X25" s="4">
        <f>IF(A25&lt;('2. Inputs and results'!$B$23+1),'2. Inputs and results'!$B$81*W24," ")</f>
        <v>-162.38186794953302</v>
      </c>
      <c r="Y25" s="4">
        <f t="shared" si="2"/>
        <v>-162.38186794953302</v>
      </c>
      <c r="Z25" s="4">
        <f>IF(A25&lt;('2. Inputs and results'!$B$23+1),Z24+(C25-$V$6+Y25)/((1+$P$2)^A25),NA())</f>
        <v>-51933.006338848747</v>
      </c>
      <c r="AA25" s="4">
        <f>IF(A25&lt;('2. Inputs and results'!$B$23+1),AA24+(G25+I25+H25+T25-$V$6)," ")</f>
        <v>242742.78696753399</v>
      </c>
      <c r="AB25" s="11">
        <f>IF(A25&lt;('2. Inputs and results'!$B$23+1),AA25/L25,NA())</f>
        <v>1.5520638552911381</v>
      </c>
      <c r="AC25" s="12">
        <f>IF(A25&lt;('2. Inputs and results'!$B$23+1),AC24+(C25+Y25-$V$6)," ")</f>
        <v>157738.52473457385</v>
      </c>
      <c r="AD25" s="11">
        <f>IF(A25&lt;('2. Inputs and results'!$B$23+1),AC25/L25,NA())</f>
        <v>1.0085583422926716</v>
      </c>
      <c r="AE25">
        <f>IF(A25&lt;('2. Inputs and results'!$B$23+1),-'2. Inputs and results'!$B$124*A25," ")</f>
        <v>-408000</v>
      </c>
      <c r="AF25">
        <f>IF(A25&lt;('2. Inputs and results'!$B$23+1),AE25/1000,NA())</f>
        <v>-408</v>
      </c>
    </row>
    <row r="26" spans="1:32">
      <c r="A26">
        <f t="shared" si="0"/>
        <v>21</v>
      </c>
      <c r="B26" t="str">
        <f>IF(A26&lt;('2. Inputs and results'!$B$23+1),A26," ")</f>
        <v xml:space="preserve"> </v>
      </c>
      <c r="C26" s="4" t="str">
        <f>IF(A26&lt;('2. Inputs and results'!$B$23+1),'2. Inputs and results'!$B$101+'2. Inputs and results'!$B$103," ")</f>
        <v xml:space="preserve"> </v>
      </c>
      <c r="D26" s="4" t="e">
        <f>IF(A26&lt;('2. Inputs and results'!$B$23+1),D25+C26,NA())</f>
        <v>#N/A</v>
      </c>
      <c r="E26" s="4" t="str">
        <f>IF(B26&lt;('2. Inputs and results'!$B$23+1),C26/((1+$P$2)^A26)," ")</f>
        <v xml:space="preserve"> </v>
      </c>
      <c r="F26" s="4" t="str">
        <f>IF(A26&lt;('2. Inputs and results'!$B$23+1),F25+E26," ")</f>
        <v xml:space="preserve"> </v>
      </c>
      <c r="G26" s="4" t="str">
        <f>IF(A26&lt;('2. Inputs and results'!$B$23+1),G25*(1+'2. Inputs and results'!$B$46)," ")</f>
        <v xml:space="preserve"> </v>
      </c>
      <c r="H26" s="4" t="str">
        <f>IF(A26&lt;('2. Inputs and results'!$B$23+1),H25*(1+'2. Inputs and results'!$B$58)," ")</f>
        <v xml:space="preserve"> </v>
      </c>
      <c r="I26" s="4" t="str">
        <f>IF(A26&lt;('2. Inputs and results'!$B$23+1),I25*(1+'2. Inputs and results'!$B$34)," ")</f>
        <v xml:space="preserve"> </v>
      </c>
      <c r="J26" s="4" t="str">
        <f>IF(A26&lt;('2. Inputs and results'!$B$23+1),J25*(1+'2. Inputs and results'!$B$68)," ")</f>
        <v xml:space="preserve"> </v>
      </c>
      <c r="K26" s="4" t="e">
        <f>IF('Solution 1, (hidden)'!A26&lt;('2. Inputs and results'!$B$23+1),K25+(G26+I26+H26+J26),NA())</f>
        <v>#N/A</v>
      </c>
      <c r="L26" s="4" t="e">
        <f>IF(A26&lt;('2. Inputs and results'!$B$23+1),L25,NA())</f>
        <v>#N/A</v>
      </c>
      <c r="M26" s="4" t="str">
        <f>IF(A26&lt;('2. Inputs and results'!$B$23+1),'2. Inputs and results'!$B$77*'2. Inputs and results'!$B$75," ")</f>
        <v xml:space="preserve"> </v>
      </c>
      <c r="N26" s="4" t="str">
        <f>IF(A26&lt;('2. Inputs and results'!$B$23+1),M26/((1+$P$2)^A26)," ")</f>
        <v xml:space="preserve"> </v>
      </c>
      <c r="O26" s="4" t="str">
        <f>IF(A26&lt;('2. Inputs and results'!$B$23+1),'2. Inputs and results'!$B$75*'2. Inputs and results'!$B$77+O25," ")</f>
        <v xml:space="preserve"> </v>
      </c>
      <c r="P26" s="4" t="str">
        <f>IF(A26&lt;('2. Inputs and results'!$B$23+1),(G26+I26+H26+J26)/((1+$P$2)^A26)," ")</f>
        <v xml:space="preserve"> </v>
      </c>
      <c r="Q26" s="4" t="str">
        <f>IF(A26&lt;('2. Inputs and results'!$B$23+1),Q25+P26," ")</f>
        <v xml:space="preserve"> </v>
      </c>
      <c r="R26" s="4" t="e">
        <f>IF(A26&lt;('2. Inputs and results'!$B$23+1),R25+G26+I26+J26+H26+T26-$V$6,NA())</f>
        <v>#N/A</v>
      </c>
      <c r="S26" s="4" t="str">
        <f>IF(A26&lt;('2. Inputs and results'!$B$23+1),'2. Inputs and results'!$B$81*(R25)," ")</f>
        <v xml:space="preserve"> </v>
      </c>
      <c r="T26" s="4">
        <f t="shared" si="1"/>
        <v>0</v>
      </c>
      <c r="U26" s="4" t="e">
        <f>IF(A26&lt;('2. Inputs and results'!$B$23+1),U25+(T26+I26+G26+H26+J26-$V$6)/((1+$P$2)^A26),NA())</f>
        <v>#N/A</v>
      </c>
      <c r="V26" s="4" t="str">
        <f>IF(A26&lt;('2. Inputs and results'!$B$23+1),V25+('2. Inputs and results'!$B$77*'2. Inputs and results'!$B$75)," ")</f>
        <v xml:space="preserve"> </v>
      </c>
      <c r="W26" s="4" t="e">
        <f>IF(A26&lt;('2. Inputs and results'!$B$23+1),W25+C26+Y26-$V$6,NA())</f>
        <v>#N/A</v>
      </c>
      <c r="X26" s="4" t="str">
        <f>IF(A26&lt;('2. Inputs and results'!$B$23+1),'2. Inputs and results'!$B$81*W25," ")</f>
        <v xml:space="preserve"> </v>
      </c>
      <c r="Y26" s="4">
        <f t="shared" si="2"/>
        <v>0</v>
      </c>
      <c r="Z26" s="4" t="e">
        <f>IF(A26&lt;('2. Inputs and results'!$B$23+1),Z25+(C26-$V$6+Y26)/((1+$P$2)^A26),NA())</f>
        <v>#N/A</v>
      </c>
      <c r="AA26" s="4" t="str">
        <f>IF(A26&lt;('2. Inputs and results'!$B$23+1),AA25+(G26+I26+H26+T26-$V$6)," ")</f>
        <v xml:space="preserve"> </v>
      </c>
      <c r="AB26" s="11" t="e">
        <f>IF(A26&lt;('2. Inputs and results'!$B$23+1),AA26/L26,NA())</f>
        <v>#N/A</v>
      </c>
      <c r="AC26" s="12" t="str">
        <f>IF(A26&lt;('2. Inputs and results'!$B$23+1),AC25+(C26+Y26-$V$6)," ")</f>
        <v xml:space="preserve"> </v>
      </c>
      <c r="AD26" s="11" t="e">
        <f>IF(A26&lt;('2. Inputs and results'!$B$23+1),AC26/L26,NA())</f>
        <v>#N/A</v>
      </c>
      <c r="AE26" t="str">
        <f>IF(A26&lt;('2. Inputs and results'!$B$23+1),-'2. Inputs and results'!$B$124*A26," ")</f>
        <v xml:space="preserve"> </v>
      </c>
      <c r="AF26" t="e">
        <f>IF(A26&lt;('2. Inputs and results'!$B$23+1),AE26/1000,NA())</f>
        <v>#N/A</v>
      </c>
    </row>
    <row r="27" spans="1:32">
      <c r="A27">
        <f t="shared" si="0"/>
        <v>22</v>
      </c>
      <c r="B27" t="str">
        <f>IF(A27&lt;('2. Inputs and results'!$B$23+1),A27," ")</f>
        <v xml:space="preserve"> </v>
      </c>
      <c r="C27" s="4" t="str">
        <f>IF(A27&lt;('2. Inputs and results'!$B$23+1),'2. Inputs and results'!$B$101+'2. Inputs and results'!$B$103," ")</f>
        <v xml:space="preserve"> </v>
      </c>
      <c r="D27" s="4" t="e">
        <f>IF(A27&lt;('2. Inputs and results'!$B$23+1),D26+C27,NA())</f>
        <v>#N/A</v>
      </c>
      <c r="E27" s="4" t="str">
        <f>IF(B27&lt;('2. Inputs and results'!$B$23+1),C27/((1+$P$2)^A27)," ")</f>
        <v xml:space="preserve"> </v>
      </c>
      <c r="F27" s="4" t="str">
        <f>IF(A27&lt;('2. Inputs and results'!$B$23+1),F26+E27," ")</f>
        <v xml:space="preserve"> </v>
      </c>
      <c r="G27" s="4" t="str">
        <f>IF(A27&lt;('2. Inputs and results'!$B$23+1),G26*(1+'2. Inputs and results'!$B$46)," ")</f>
        <v xml:space="preserve"> </v>
      </c>
      <c r="H27" s="4" t="str">
        <f>IF(A27&lt;('2. Inputs and results'!$B$23+1),H26*(1+'2. Inputs and results'!$B$58)," ")</f>
        <v xml:space="preserve"> </v>
      </c>
      <c r="I27" s="4" t="str">
        <f>IF(A27&lt;('2. Inputs and results'!$B$23+1),I26*(1+'2. Inputs and results'!$B$34)," ")</f>
        <v xml:space="preserve"> </v>
      </c>
      <c r="J27" s="4" t="str">
        <f>IF(A27&lt;('2. Inputs and results'!$B$23+1),J26*(1+'2. Inputs and results'!$B$68)," ")</f>
        <v xml:space="preserve"> </v>
      </c>
      <c r="K27" s="4" t="e">
        <f>IF('Solution 1, (hidden)'!A27&lt;('2. Inputs and results'!$B$23+1),K26+(G27+I27+H27+J27),NA())</f>
        <v>#N/A</v>
      </c>
      <c r="L27" s="4" t="e">
        <f>IF(A27&lt;('2. Inputs and results'!$B$23+1),L26,NA())</f>
        <v>#N/A</v>
      </c>
      <c r="M27" s="4" t="str">
        <f>IF(A27&lt;('2. Inputs and results'!$B$23+1),'2. Inputs and results'!$B$77*'2. Inputs and results'!$B$75," ")</f>
        <v xml:space="preserve"> </v>
      </c>
      <c r="N27" s="4" t="str">
        <f>IF(A27&lt;('2. Inputs and results'!$B$23+1),M27/((1+$P$2)^A27)," ")</f>
        <v xml:space="preserve"> </v>
      </c>
      <c r="O27" s="4" t="str">
        <f>IF(A27&lt;('2. Inputs and results'!$B$23+1),'2. Inputs and results'!$B$75*'2. Inputs and results'!$B$77+O26," ")</f>
        <v xml:space="preserve"> </v>
      </c>
      <c r="P27" s="4" t="str">
        <f>IF(A27&lt;('2. Inputs and results'!$B$23+1),(G27+I27+H27+J27)/((1+$P$2)^A27)," ")</f>
        <v xml:space="preserve"> </v>
      </c>
      <c r="Q27" s="4" t="str">
        <f>IF(A27&lt;('2. Inputs and results'!$B$23+1),Q26+P27," ")</f>
        <v xml:space="preserve"> </v>
      </c>
      <c r="R27" s="4" t="e">
        <f>IF(A27&lt;('2. Inputs and results'!$B$23+1),R26+G27+I27+J27+H27+T27-$V$6,NA())</f>
        <v>#N/A</v>
      </c>
      <c r="S27" s="4" t="str">
        <f>IF(A27&lt;('2. Inputs and results'!$B$23+1),'2. Inputs and results'!$B$81*(R26)," ")</f>
        <v xml:space="preserve"> </v>
      </c>
      <c r="T27" s="4">
        <f t="shared" si="1"/>
        <v>0</v>
      </c>
      <c r="U27" s="4" t="e">
        <f>IF(A27&lt;('2. Inputs and results'!$B$23+1),U26+(T27+I27+G27+H27+J27-$V$6)/((1+$P$2)^A27),NA())</f>
        <v>#N/A</v>
      </c>
      <c r="V27" s="4" t="str">
        <f>IF(A27&lt;('2. Inputs and results'!$B$23+1),V26+('2. Inputs and results'!$B$77*'2. Inputs and results'!$B$75)," ")</f>
        <v xml:space="preserve"> </v>
      </c>
      <c r="W27" s="4" t="e">
        <f>IF(A27&lt;('2. Inputs and results'!$B$23+1),W26+C27+Y27-$V$6,NA())</f>
        <v>#N/A</v>
      </c>
      <c r="X27" s="4" t="str">
        <f>IF(A27&lt;('2. Inputs and results'!$B$23+1),'2. Inputs and results'!$B$81*W26," ")</f>
        <v xml:space="preserve"> </v>
      </c>
      <c r="Y27" s="4">
        <f t="shared" si="2"/>
        <v>0</v>
      </c>
      <c r="Z27" s="4" t="e">
        <f>IF(A27&lt;('2. Inputs and results'!$B$23+1),Z26+(C27-$V$6+Y27)/((1+$P$2)^A27),NA())</f>
        <v>#N/A</v>
      </c>
      <c r="AA27" s="4" t="str">
        <f>IF(A27&lt;('2. Inputs and results'!$B$23+1),AA26+(G27+I27+H27+T27-$V$6)," ")</f>
        <v xml:space="preserve"> </v>
      </c>
      <c r="AB27" s="11" t="e">
        <f>IF(A27&lt;('2. Inputs and results'!$B$23+1),AA27/L27,NA())</f>
        <v>#N/A</v>
      </c>
      <c r="AC27" s="12" t="str">
        <f>IF(A27&lt;('2. Inputs and results'!$B$23+1),AC26+(C27+Y27-$V$6)," ")</f>
        <v xml:space="preserve"> </v>
      </c>
      <c r="AD27" s="11" t="e">
        <f>IF(A27&lt;('2. Inputs and results'!$B$23+1),AC27/L27,NA())</f>
        <v>#N/A</v>
      </c>
      <c r="AE27" t="str">
        <f>IF(A27&lt;('2. Inputs and results'!$B$23+1),-'2. Inputs and results'!$B$124*A27," ")</f>
        <v xml:space="preserve"> </v>
      </c>
      <c r="AF27" t="e">
        <f>IF(A27&lt;('2. Inputs and results'!$B$23+1),AE27/1000,NA())</f>
        <v>#N/A</v>
      </c>
    </row>
    <row r="28" spans="1:32">
      <c r="A28">
        <f t="shared" si="0"/>
        <v>23</v>
      </c>
      <c r="B28" t="str">
        <f>IF(A28&lt;('2. Inputs and results'!$B$23+1),A28," ")</f>
        <v xml:space="preserve"> </v>
      </c>
      <c r="C28" s="4" t="str">
        <f>IF(A28&lt;('2. Inputs and results'!$B$23+1),'2. Inputs and results'!$B$101+'2. Inputs and results'!$B$103," ")</f>
        <v xml:space="preserve"> </v>
      </c>
      <c r="D28" s="4" t="e">
        <f>IF(A28&lt;('2. Inputs and results'!$B$23+1),D27+C28,NA())</f>
        <v>#N/A</v>
      </c>
      <c r="E28" s="4" t="str">
        <f>IF(B28&lt;('2. Inputs and results'!$B$23+1),C28/((1+$P$2)^A28)," ")</f>
        <v xml:space="preserve"> </v>
      </c>
      <c r="F28" s="4" t="str">
        <f>IF(A28&lt;('2. Inputs and results'!$B$23+1),F27+E28," ")</f>
        <v xml:space="preserve"> </v>
      </c>
      <c r="G28" s="4" t="str">
        <f>IF(A28&lt;('2. Inputs and results'!$B$23+1),G27*(1+'2. Inputs and results'!$B$46)," ")</f>
        <v xml:space="preserve"> </v>
      </c>
      <c r="H28" s="4" t="str">
        <f>IF(A28&lt;('2. Inputs and results'!$B$23+1),H27*(1+'2. Inputs and results'!$B$58)," ")</f>
        <v xml:space="preserve"> </v>
      </c>
      <c r="I28" s="4" t="str">
        <f>IF(A28&lt;('2. Inputs and results'!$B$23+1),I27*(1+'2. Inputs and results'!$B$34)," ")</f>
        <v xml:space="preserve"> </v>
      </c>
      <c r="J28" s="4" t="str">
        <f>IF(A28&lt;('2. Inputs and results'!$B$23+1),J27*(1+'2. Inputs and results'!$B$68)," ")</f>
        <v xml:space="preserve"> </v>
      </c>
      <c r="K28" s="4" t="e">
        <f>IF('Solution 1, (hidden)'!A28&lt;('2. Inputs and results'!$B$23+1),K27+(G28+I28+H28+J28),NA())</f>
        <v>#N/A</v>
      </c>
      <c r="L28" s="4" t="e">
        <f>IF(A28&lt;('2. Inputs and results'!$B$23+1),L27,NA())</f>
        <v>#N/A</v>
      </c>
      <c r="M28" s="4" t="str">
        <f>IF(A28&lt;('2. Inputs and results'!$B$23+1),'2. Inputs and results'!$B$77*'2. Inputs and results'!$B$75," ")</f>
        <v xml:space="preserve"> </v>
      </c>
      <c r="N28" s="4" t="str">
        <f>IF(A28&lt;('2. Inputs and results'!$B$23+1),M28/((1+$P$2)^A28)," ")</f>
        <v xml:space="preserve"> </v>
      </c>
      <c r="O28" s="4" t="str">
        <f>IF(A28&lt;('2. Inputs and results'!$B$23+1),'2. Inputs and results'!$B$75*'2. Inputs and results'!$B$77+O27," ")</f>
        <v xml:space="preserve"> </v>
      </c>
      <c r="P28" s="4" t="str">
        <f>IF(A28&lt;('2. Inputs and results'!$B$23+1),(G28+I28+H28+J28)/((1+$P$2)^A28)," ")</f>
        <v xml:space="preserve"> </v>
      </c>
      <c r="Q28" s="4" t="str">
        <f>IF(A28&lt;('2. Inputs and results'!$B$23+1),Q27+P28," ")</f>
        <v xml:space="preserve"> </v>
      </c>
      <c r="R28" s="4" t="e">
        <f>IF(A28&lt;('2. Inputs and results'!$B$23+1),R27+G28+I28+J28+H28+T28-$V$6,NA())</f>
        <v>#N/A</v>
      </c>
      <c r="S28" s="4" t="str">
        <f>IF(A28&lt;('2. Inputs and results'!$B$23+1),'2. Inputs and results'!$B$81*(R27)," ")</f>
        <v xml:space="preserve"> </v>
      </c>
      <c r="T28" s="4">
        <f t="shared" si="1"/>
        <v>0</v>
      </c>
      <c r="U28" s="4" t="e">
        <f>IF(A28&lt;('2. Inputs and results'!$B$23+1),U27+(T28+I28+G28+H28+J28-$V$6)/((1+$P$2)^A28),NA())</f>
        <v>#N/A</v>
      </c>
      <c r="V28" s="4" t="str">
        <f>IF(A28&lt;('2. Inputs and results'!$B$23+1),V27+('2. Inputs and results'!$B$77*'2. Inputs and results'!$B$75)," ")</f>
        <v xml:space="preserve"> </v>
      </c>
      <c r="W28" s="4" t="e">
        <f>IF(A28&lt;('2. Inputs and results'!$B$23+1),W27+C28+Y28-$V$6,NA())</f>
        <v>#N/A</v>
      </c>
      <c r="X28" s="4" t="str">
        <f>IF(A28&lt;('2. Inputs and results'!$B$23+1),'2. Inputs and results'!$B$81*W27," ")</f>
        <v xml:space="preserve"> </v>
      </c>
      <c r="Y28" s="4">
        <f t="shared" si="2"/>
        <v>0</v>
      </c>
      <c r="Z28" s="4" t="e">
        <f>IF(A28&lt;('2. Inputs and results'!$B$23+1),Z27+(C28-$V$6+Y28)/((1+$P$2)^A28),NA())</f>
        <v>#N/A</v>
      </c>
      <c r="AA28" s="4" t="str">
        <f>IF(A28&lt;('2. Inputs and results'!$B$23+1),AA27+(G28+I28+H28+T28-$V$6)," ")</f>
        <v xml:space="preserve"> </v>
      </c>
      <c r="AB28" s="11" t="e">
        <f>IF(A28&lt;('2. Inputs and results'!$B$23+1),AA28/L28,NA())</f>
        <v>#N/A</v>
      </c>
      <c r="AC28" s="12" t="str">
        <f>IF(A28&lt;('2. Inputs and results'!$B$23+1),AC27+(C28+Y28-$V$6)," ")</f>
        <v xml:space="preserve"> </v>
      </c>
      <c r="AD28" s="11" t="e">
        <f>IF(A28&lt;('2. Inputs and results'!$B$23+1),AC28/L28,NA())</f>
        <v>#N/A</v>
      </c>
      <c r="AE28" t="str">
        <f>IF(A28&lt;('2. Inputs and results'!$B$23+1),-'2. Inputs and results'!$B$124*A28," ")</f>
        <v xml:space="preserve"> </v>
      </c>
      <c r="AF28" t="e">
        <f>IF(A28&lt;('2. Inputs and results'!$B$23+1),AE28/1000,NA())</f>
        <v>#N/A</v>
      </c>
    </row>
    <row r="29" spans="1:32">
      <c r="A29">
        <f t="shared" si="0"/>
        <v>24</v>
      </c>
      <c r="B29" t="str">
        <f>IF(A29&lt;('2. Inputs and results'!$B$23+1),A29," ")</f>
        <v xml:space="preserve"> </v>
      </c>
      <c r="C29" s="4" t="str">
        <f>IF(A29&lt;('2. Inputs and results'!$B$23+1),'2. Inputs and results'!$B$101+'2. Inputs and results'!$B$103," ")</f>
        <v xml:space="preserve"> </v>
      </c>
      <c r="D29" s="4" t="e">
        <f>IF(A29&lt;('2. Inputs and results'!$B$23+1),D28+C29,NA())</f>
        <v>#N/A</v>
      </c>
      <c r="E29" s="4" t="str">
        <f>IF(B29&lt;('2. Inputs and results'!$B$23+1),C29/((1+$P$2)^A29)," ")</f>
        <v xml:space="preserve"> </v>
      </c>
      <c r="F29" s="4" t="str">
        <f>IF(A29&lt;('2. Inputs and results'!$B$23+1),F28+E29," ")</f>
        <v xml:space="preserve"> </v>
      </c>
      <c r="G29" s="4" t="str">
        <f>IF(A29&lt;('2. Inputs and results'!$B$23+1),G28*(1+'2. Inputs and results'!$B$46)," ")</f>
        <v xml:space="preserve"> </v>
      </c>
      <c r="H29" s="4" t="str">
        <f>IF(A29&lt;('2. Inputs and results'!$B$23+1),H28*(1+'2. Inputs and results'!$B$58)," ")</f>
        <v xml:space="preserve"> </v>
      </c>
      <c r="I29" s="4" t="str">
        <f>IF(A29&lt;('2. Inputs and results'!$B$23+1),I28*(1+'2. Inputs and results'!$B$34)," ")</f>
        <v xml:space="preserve"> </v>
      </c>
      <c r="J29" s="4" t="str">
        <f>IF(A29&lt;('2. Inputs and results'!$B$23+1),J28*(1+'2. Inputs and results'!$B$68)," ")</f>
        <v xml:space="preserve"> </v>
      </c>
      <c r="K29" s="4" t="e">
        <f>IF('Solution 1, (hidden)'!A29&lt;('2. Inputs and results'!$B$23+1),K28+(G29+I29+H29+J29),NA())</f>
        <v>#N/A</v>
      </c>
      <c r="L29" s="4" t="e">
        <f>IF(A29&lt;('2. Inputs and results'!$B$23+1),L28,NA())</f>
        <v>#N/A</v>
      </c>
      <c r="M29" s="4" t="str">
        <f>IF(A29&lt;('2. Inputs and results'!$B$23+1),'2. Inputs and results'!$B$77*'2. Inputs and results'!$B$75," ")</f>
        <v xml:space="preserve"> </v>
      </c>
      <c r="N29" s="4" t="str">
        <f>IF(A29&lt;('2. Inputs and results'!$B$23+1),M29/((1+$P$2)^A29)," ")</f>
        <v xml:space="preserve"> </v>
      </c>
      <c r="O29" s="4" t="str">
        <f>IF(A29&lt;('2. Inputs and results'!$B$23+1),'2. Inputs and results'!$B$75*'2. Inputs and results'!$B$77+O28," ")</f>
        <v xml:space="preserve"> </v>
      </c>
      <c r="P29" s="4" t="str">
        <f>IF(A29&lt;('2. Inputs and results'!$B$23+1),(G29+I29+H29+J29)/((1+$P$2)^A29)," ")</f>
        <v xml:space="preserve"> </v>
      </c>
      <c r="Q29" s="4" t="str">
        <f>IF(A29&lt;('2. Inputs and results'!$B$23+1),Q28+P29," ")</f>
        <v xml:space="preserve"> </v>
      </c>
      <c r="R29" s="4" t="e">
        <f>IF(A29&lt;('2. Inputs and results'!$B$23+1),R28+G29+I29+J29+H29+T29-$V$6,NA())</f>
        <v>#N/A</v>
      </c>
      <c r="S29" s="4" t="str">
        <f>IF(A29&lt;('2. Inputs and results'!$B$23+1),'2. Inputs and results'!$B$81*(R28)," ")</f>
        <v xml:space="preserve"> </v>
      </c>
      <c r="T29" s="4">
        <f t="shared" si="1"/>
        <v>0</v>
      </c>
      <c r="U29" s="4" t="e">
        <f>IF(A29&lt;('2. Inputs and results'!$B$23+1),U28+(T29+I29+G29+H29+J29-$V$6)/((1+$P$2)^A29),NA())</f>
        <v>#N/A</v>
      </c>
      <c r="V29" s="4" t="str">
        <f>IF(A29&lt;('2. Inputs and results'!$B$23+1),V28+('2. Inputs and results'!$B$77*'2. Inputs and results'!$B$75)," ")</f>
        <v xml:space="preserve"> </v>
      </c>
      <c r="W29" s="4" t="e">
        <f>IF(A29&lt;('2. Inputs and results'!$B$23+1),W28+C29+Y29-$V$6,NA())</f>
        <v>#N/A</v>
      </c>
      <c r="X29" s="4" t="str">
        <f>IF(A29&lt;('2. Inputs and results'!$B$23+1),'2. Inputs and results'!$B$81*W28," ")</f>
        <v xml:space="preserve"> </v>
      </c>
      <c r="Y29" s="4">
        <f t="shared" si="2"/>
        <v>0</v>
      </c>
      <c r="Z29" s="4" t="e">
        <f>IF(A29&lt;('2. Inputs and results'!$B$23+1),Z28+(C29-$V$6+Y29)/((1+$P$2)^A29),NA())</f>
        <v>#N/A</v>
      </c>
      <c r="AA29" s="4" t="str">
        <f>IF(A29&lt;('2. Inputs and results'!$B$23+1),AA28+(G29+I29+H29+T29-$V$6)," ")</f>
        <v xml:space="preserve"> </v>
      </c>
      <c r="AB29" s="11" t="e">
        <f>IF(A29&lt;('2. Inputs and results'!$B$23+1),AA29/L29,NA())</f>
        <v>#N/A</v>
      </c>
      <c r="AC29" s="12" t="str">
        <f>IF(A29&lt;('2. Inputs and results'!$B$23+1),AC28+(C29+Y29-$V$6)," ")</f>
        <v xml:space="preserve"> </v>
      </c>
      <c r="AD29" s="11" t="e">
        <f>IF(A29&lt;('2. Inputs and results'!$B$23+1),AC29/L29,NA())</f>
        <v>#N/A</v>
      </c>
      <c r="AE29" t="str">
        <f>IF(A29&lt;('2. Inputs and results'!$B$23+1),-'2. Inputs and results'!$B$124*A29," ")</f>
        <v xml:space="preserve"> </v>
      </c>
      <c r="AF29" t="e">
        <f>IF(A29&lt;('2. Inputs and results'!$B$23+1),AE29/1000,NA())</f>
        <v>#N/A</v>
      </c>
    </row>
    <row r="30" spans="1:32">
      <c r="A30">
        <f t="shared" si="0"/>
        <v>25</v>
      </c>
      <c r="B30" t="str">
        <f>IF(A30&lt;('2. Inputs and results'!$B$23+1),A30," ")</f>
        <v xml:space="preserve"> </v>
      </c>
      <c r="C30" s="4" t="str">
        <f>IF(A30&lt;('2. Inputs and results'!$B$23+1),'2. Inputs and results'!$B$101+'2. Inputs and results'!$B$103," ")</f>
        <v xml:space="preserve"> </v>
      </c>
      <c r="D30" s="4" t="e">
        <f>IF(A30&lt;('2. Inputs and results'!$B$23+1),D29+C30,NA())</f>
        <v>#N/A</v>
      </c>
      <c r="E30" s="4" t="str">
        <f>IF(B30&lt;('2. Inputs and results'!$B$23+1),C30/((1+$P$2)^A30)," ")</f>
        <v xml:space="preserve"> </v>
      </c>
      <c r="F30" s="4" t="str">
        <f>IF(A30&lt;('2. Inputs and results'!$B$23+1),F29+E30," ")</f>
        <v xml:space="preserve"> </v>
      </c>
      <c r="G30" s="4" t="str">
        <f>IF(A30&lt;('2. Inputs and results'!$B$23+1),G29*(1+'2. Inputs and results'!$B$46)," ")</f>
        <v xml:space="preserve"> </v>
      </c>
      <c r="H30" s="4" t="str">
        <f>IF(A30&lt;('2. Inputs and results'!$B$23+1),H29*(1+'2. Inputs and results'!$B$58)," ")</f>
        <v xml:space="preserve"> </v>
      </c>
      <c r="I30" s="4" t="str">
        <f>IF(A30&lt;('2. Inputs and results'!$B$23+1),I29*(1+'2. Inputs and results'!$B$34)," ")</f>
        <v xml:space="preserve"> </v>
      </c>
      <c r="J30" s="4" t="str">
        <f>IF(A30&lt;('2. Inputs and results'!$B$23+1),J29*(1+'2. Inputs and results'!$B$68)," ")</f>
        <v xml:space="preserve"> </v>
      </c>
      <c r="K30" s="4" t="e">
        <f>IF('Solution 1, (hidden)'!A30&lt;('2. Inputs and results'!$B$23+1),K29+(G30+I30+H30+J30),NA())</f>
        <v>#N/A</v>
      </c>
      <c r="L30" s="4" t="e">
        <f>IF(A30&lt;('2. Inputs and results'!$B$23+1),L29,NA())</f>
        <v>#N/A</v>
      </c>
      <c r="M30" s="4" t="str">
        <f>IF(A30&lt;('2. Inputs and results'!$B$23+1),'2. Inputs and results'!$B$77*'2. Inputs and results'!$B$75," ")</f>
        <v xml:space="preserve"> </v>
      </c>
      <c r="N30" s="4" t="str">
        <f>IF(A30&lt;('2. Inputs and results'!$B$23+1),M30/((1+$P$2)^A30)," ")</f>
        <v xml:space="preserve"> </v>
      </c>
      <c r="O30" s="4" t="str">
        <f>IF(A30&lt;('2. Inputs and results'!$B$23+1),'2. Inputs and results'!$B$75*'2. Inputs and results'!$B$77+O29," ")</f>
        <v xml:space="preserve"> </v>
      </c>
      <c r="P30" s="4" t="str">
        <f>IF(A30&lt;('2. Inputs and results'!$B$23+1),(G30+I30+H30+J30)/((1+$P$2)^A30)," ")</f>
        <v xml:space="preserve"> </v>
      </c>
      <c r="Q30" s="4" t="str">
        <f>IF(A30&lt;('2. Inputs and results'!$B$23+1),Q29+P30," ")</f>
        <v xml:space="preserve"> </v>
      </c>
      <c r="R30" s="4" t="e">
        <f>IF(A30&lt;('2. Inputs and results'!$B$23+1),R29+G30+I30+J30+H30+T30-$V$6,NA())</f>
        <v>#N/A</v>
      </c>
      <c r="S30" s="4" t="str">
        <f>IF(A30&lt;('2. Inputs and results'!$B$23+1),'2. Inputs and results'!$B$81*(R29)," ")</f>
        <v xml:space="preserve"> </v>
      </c>
      <c r="T30" s="4">
        <f t="shared" si="1"/>
        <v>0</v>
      </c>
      <c r="U30" s="4" t="e">
        <f>IF(A30&lt;('2. Inputs and results'!$B$23+1),U29+(T30+I30+G30+H30+J30-$V$6)/((1+$P$2)^A30),NA())</f>
        <v>#N/A</v>
      </c>
      <c r="V30" s="4" t="str">
        <f>IF(A30&lt;('2. Inputs and results'!$B$23+1),V29+('2. Inputs and results'!$B$77*'2. Inputs and results'!$B$75)," ")</f>
        <v xml:space="preserve"> </v>
      </c>
      <c r="W30" s="4" t="e">
        <f>IF(A30&lt;('2. Inputs and results'!$B$23+1),W29+C30+Y30-$V$6,NA())</f>
        <v>#N/A</v>
      </c>
      <c r="X30" s="4" t="str">
        <f>IF(A30&lt;('2. Inputs and results'!$B$23+1),'2. Inputs and results'!$B$81*W29," ")</f>
        <v xml:space="preserve"> </v>
      </c>
      <c r="Y30" s="4">
        <f t="shared" si="2"/>
        <v>0</v>
      </c>
      <c r="Z30" s="4" t="e">
        <f>IF(A30&lt;('2. Inputs and results'!$B$23+1),Z29+(C30-$V$6+Y30)/((1+$P$2)^A30),NA())</f>
        <v>#N/A</v>
      </c>
      <c r="AA30" s="4" t="str">
        <f>IF(A30&lt;('2. Inputs and results'!$B$23+1),AA29+(G30+I30+H30+T30-$V$6)," ")</f>
        <v xml:space="preserve"> </v>
      </c>
      <c r="AB30" s="11" t="e">
        <f>IF(A30&lt;('2. Inputs and results'!$B$23+1),AA30/L30,NA())</f>
        <v>#N/A</v>
      </c>
      <c r="AC30" s="12" t="str">
        <f>IF(A30&lt;('2. Inputs and results'!$B$23+1),AC29+(C30+Y30-$V$6)," ")</f>
        <v xml:space="preserve"> </v>
      </c>
      <c r="AD30" s="11" t="e">
        <f>IF(A30&lt;('2. Inputs and results'!$B$23+1),AC30/L30,NA())</f>
        <v>#N/A</v>
      </c>
      <c r="AE30" t="str">
        <f>IF(A30&lt;('2. Inputs and results'!$B$23+1),-'2. Inputs and results'!$B$124*A30," ")</f>
        <v xml:space="preserve"> </v>
      </c>
      <c r="AF30" t="e">
        <f>IF(A30&lt;('2. Inputs and results'!$B$23+1),AE30/1000,NA())</f>
        <v>#N/A</v>
      </c>
    </row>
    <row r="31" spans="1:32">
      <c r="A31">
        <f t="shared" si="0"/>
        <v>26</v>
      </c>
      <c r="B31" t="str">
        <f>IF(A31&lt;('2. Inputs and results'!$B$23+1),A31," ")</f>
        <v xml:space="preserve"> </v>
      </c>
      <c r="C31" s="4" t="str">
        <f>IF(A31&lt;('2. Inputs and results'!$B$23+1),'2. Inputs and results'!$B$101+'2. Inputs and results'!$B$103," ")</f>
        <v xml:space="preserve"> </v>
      </c>
      <c r="D31" s="4" t="e">
        <f>IF(A31&lt;('2. Inputs and results'!$B$23+1),D30+C31,NA())</f>
        <v>#N/A</v>
      </c>
      <c r="E31" s="4" t="str">
        <f>IF(B31&lt;('2. Inputs and results'!$B$23+1),C31/((1+$P$2)^A31)," ")</f>
        <v xml:space="preserve"> </v>
      </c>
      <c r="F31" s="4" t="str">
        <f>IF(A31&lt;('2. Inputs and results'!$B$23+1),F30+E31," ")</f>
        <v xml:space="preserve"> </v>
      </c>
      <c r="G31" s="4" t="str">
        <f>IF(A31&lt;('2. Inputs and results'!$B$23+1),G30*(1+'2. Inputs and results'!$B$46)," ")</f>
        <v xml:space="preserve"> </v>
      </c>
      <c r="H31" s="4" t="str">
        <f>IF(A31&lt;('2. Inputs and results'!$B$23+1),H30*(1+'2. Inputs and results'!$B$58)," ")</f>
        <v xml:space="preserve"> </v>
      </c>
      <c r="I31" s="4" t="str">
        <f>IF(A31&lt;('2. Inputs and results'!$B$23+1),I30*(1+'2. Inputs and results'!$B$34)," ")</f>
        <v xml:space="preserve"> </v>
      </c>
      <c r="J31" s="4" t="str">
        <f>IF(A31&lt;('2. Inputs and results'!$B$23+1),J30*(1+'2. Inputs and results'!$B$68)," ")</f>
        <v xml:space="preserve"> </v>
      </c>
      <c r="K31" s="4" t="e">
        <f>IF('Solution 1, (hidden)'!A31&lt;('2. Inputs and results'!$B$23+1),K30+(G31+I31+H31+J31),NA())</f>
        <v>#N/A</v>
      </c>
      <c r="L31" s="4" t="e">
        <f>IF(A31&lt;('2. Inputs and results'!$B$23+1),L30,NA())</f>
        <v>#N/A</v>
      </c>
      <c r="M31" s="4" t="str">
        <f>IF(A31&lt;('2. Inputs and results'!$B$23+1),'2. Inputs and results'!$B$77*'2. Inputs and results'!$B$75," ")</f>
        <v xml:space="preserve"> </v>
      </c>
      <c r="N31" s="4" t="str">
        <f>IF(A31&lt;('2. Inputs and results'!$B$23+1),M31/((1+$P$2)^A31)," ")</f>
        <v xml:space="preserve"> </v>
      </c>
      <c r="O31" s="4" t="str">
        <f>IF(A31&lt;('2. Inputs and results'!$B$23+1),'2. Inputs and results'!$B$75*'2. Inputs and results'!$B$77+O30," ")</f>
        <v xml:space="preserve"> </v>
      </c>
      <c r="P31" s="4" t="str">
        <f>IF(A31&lt;('2. Inputs and results'!$B$23+1),(G31+I31+H31+J31)/((1+$P$2)^A31)," ")</f>
        <v xml:space="preserve"> </v>
      </c>
      <c r="Q31" s="4" t="str">
        <f>IF(A31&lt;('2. Inputs and results'!$B$23+1),Q30+P31," ")</f>
        <v xml:space="preserve"> </v>
      </c>
      <c r="R31" s="4" t="e">
        <f>IF(A31&lt;('2. Inputs and results'!$B$23+1),R30+G31+I31+J31+H31+T31-$V$6,NA())</f>
        <v>#N/A</v>
      </c>
      <c r="S31" s="4" t="str">
        <f>IF(A31&lt;('2. Inputs and results'!$B$23+1),'2. Inputs and results'!$B$81*(R30)," ")</f>
        <v xml:space="preserve"> </v>
      </c>
      <c r="T31" s="4">
        <f t="shared" si="1"/>
        <v>0</v>
      </c>
      <c r="U31" s="4" t="e">
        <f>IF(A31&lt;('2. Inputs and results'!$B$23+1),U30+(T31+I31+G31+H31+J31-$V$6)/((1+$P$2)^A31),NA())</f>
        <v>#N/A</v>
      </c>
      <c r="V31" s="4" t="str">
        <f>IF(A31&lt;('2. Inputs and results'!$B$23+1),V30+('2. Inputs and results'!$B$77*'2. Inputs and results'!$B$75)," ")</f>
        <v xml:space="preserve"> </v>
      </c>
      <c r="W31" s="4" t="e">
        <f>IF(A31&lt;('2. Inputs and results'!$B$23+1),W30+C31+Y31-$V$6,NA())</f>
        <v>#N/A</v>
      </c>
      <c r="X31" s="4" t="str">
        <f>IF(A31&lt;('2. Inputs and results'!$B$23+1),'2. Inputs and results'!$B$81*W30," ")</f>
        <v xml:space="preserve"> </v>
      </c>
      <c r="Y31" s="4">
        <f t="shared" si="2"/>
        <v>0</v>
      </c>
      <c r="Z31" s="4" t="e">
        <f>IF(A31&lt;('2. Inputs and results'!$B$23+1),Z30+(C31-$V$6+Y31)/((1+$P$2)^A31),NA())</f>
        <v>#N/A</v>
      </c>
      <c r="AA31" s="4" t="str">
        <f>IF(A31&lt;('2. Inputs and results'!$B$23+1),AA30+(G31+I31+H31+T31-$V$6)," ")</f>
        <v xml:space="preserve"> </v>
      </c>
      <c r="AB31" s="11" t="e">
        <f>IF(A31&lt;('2. Inputs and results'!$B$23+1),AA31/L31,NA())</f>
        <v>#N/A</v>
      </c>
      <c r="AC31" s="12" t="str">
        <f>IF(A31&lt;('2. Inputs and results'!$B$23+1),AC30+(C31+Y31-$V$6)," ")</f>
        <v xml:space="preserve"> </v>
      </c>
      <c r="AD31" s="11" t="e">
        <f>IF(A31&lt;('2. Inputs and results'!$B$23+1),AC31/L31,NA())</f>
        <v>#N/A</v>
      </c>
      <c r="AE31" t="str">
        <f>IF(A31&lt;('2. Inputs and results'!$B$23+1),-'2. Inputs and results'!$B$124*A31," ")</f>
        <v xml:space="preserve"> </v>
      </c>
      <c r="AF31" t="e">
        <f>IF(A31&lt;('2. Inputs and results'!$B$23+1),AE31/1000,NA())</f>
        <v>#N/A</v>
      </c>
    </row>
    <row r="32" spans="1:32">
      <c r="A32">
        <f t="shared" si="0"/>
        <v>27</v>
      </c>
      <c r="B32" t="str">
        <f>IF(A32&lt;('2. Inputs and results'!$B$23+1),A32," ")</f>
        <v xml:space="preserve"> </v>
      </c>
      <c r="C32" s="4" t="str">
        <f>IF(A32&lt;('2. Inputs and results'!$B$23+1),'2. Inputs and results'!$B$101+'2. Inputs and results'!$B$103," ")</f>
        <v xml:space="preserve"> </v>
      </c>
      <c r="D32" s="4" t="e">
        <f>IF(A32&lt;('2. Inputs and results'!$B$23+1),D31+C32,NA())</f>
        <v>#N/A</v>
      </c>
      <c r="E32" s="4" t="str">
        <f>IF(B32&lt;('2. Inputs and results'!$B$23+1),C32/((1+$P$2)^A32)," ")</f>
        <v xml:space="preserve"> </v>
      </c>
      <c r="F32" s="4" t="str">
        <f>IF(A32&lt;('2. Inputs and results'!$B$23+1),F31+E32," ")</f>
        <v xml:space="preserve"> </v>
      </c>
      <c r="G32" s="4" t="str">
        <f>IF(A32&lt;('2. Inputs and results'!$B$23+1),G31*(1+'2. Inputs and results'!$B$46)," ")</f>
        <v xml:space="preserve"> </v>
      </c>
      <c r="H32" s="4" t="str">
        <f>IF(A32&lt;('2. Inputs and results'!$B$23+1),H31*(1+'2. Inputs and results'!$B$58)," ")</f>
        <v xml:space="preserve"> </v>
      </c>
      <c r="I32" s="4" t="str">
        <f>IF(A32&lt;('2. Inputs and results'!$B$23+1),I31*(1+'2. Inputs and results'!$B$34)," ")</f>
        <v xml:space="preserve"> </v>
      </c>
      <c r="J32" s="4" t="str">
        <f>IF(A32&lt;('2. Inputs and results'!$B$23+1),J31*(1+'2. Inputs and results'!$B$68)," ")</f>
        <v xml:space="preserve"> </v>
      </c>
      <c r="K32" s="4" t="e">
        <f>IF('Solution 1, (hidden)'!A32&lt;('2. Inputs and results'!$B$23+1),K31+(G32+I32+H32+J32),NA())</f>
        <v>#N/A</v>
      </c>
      <c r="L32" s="4" t="e">
        <f>IF(A32&lt;('2. Inputs and results'!$B$23+1),L31,NA())</f>
        <v>#N/A</v>
      </c>
      <c r="M32" s="4" t="str">
        <f>IF(A32&lt;('2. Inputs and results'!$B$23+1),'2. Inputs and results'!$B$77*'2. Inputs and results'!$B$75," ")</f>
        <v xml:space="preserve"> </v>
      </c>
      <c r="N32" s="4" t="str">
        <f>IF(A32&lt;('2. Inputs and results'!$B$23+1),M32/((1+$P$2)^A32)," ")</f>
        <v xml:space="preserve"> </v>
      </c>
      <c r="O32" s="4" t="str">
        <f>IF(A32&lt;('2. Inputs and results'!$B$23+1),'2. Inputs and results'!$B$75*'2. Inputs and results'!$B$77+O31," ")</f>
        <v xml:space="preserve"> </v>
      </c>
      <c r="P32" s="4" t="str">
        <f>IF(A32&lt;('2. Inputs and results'!$B$23+1),(G32+I32+H32+J32)/((1+$P$2)^A32)," ")</f>
        <v xml:space="preserve"> </v>
      </c>
      <c r="Q32" s="4" t="str">
        <f>IF(A32&lt;('2. Inputs and results'!$B$23+1),Q31+P32," ")</f>
        <v xml:space="preserve"> </v>
      </c>
      <c r="R32" s="4" t="e">
        <f>IF(A32&lt;('2. Inputs and results'!$B$23+1),R31+G32+I32+J32+H32+T32-$V$6,NA())</f>
        <v>#N/A</v>
      </c>
      <c r="S32" s="4" t="str">
        <f>IF(A32&lt;('2. Inputs and results'!$B$23+1),'2. Inputs and results'!$B$81*(R31)," ")</f>
        <v xml:space="preserve"> </v>
      </c>
      <c r="T32" s="4">
        <f t="shared" si="1"/>
        <v>0</v>
      </c>
      <c r="U32" s="4" t="e">
        <f>IF(A32&lt;('2. Inputs and results'!$B$23+1),U31+(T32+I32+G32+H32+J32-$V$6)/((1+$P$2)^A32),NA())</f>
        <v>#N/A</v>
      </c>
      <c r="V32" s="4" t="str">
        <f>IF(A32&lt;('2. Inputs and results'!$B$23+1),V31+('2. Inputs and results'!$B$77*'2. Inputs and results'!$B$75)," ")</f>
        <v xml:space="preserve"> </v>
      </c>
      <c r="W32" s="4" t="e">
        <f>IF(A32&lt;('2. Inputs and results'!$B$23+1),W31+C32+Y32-$V$6,NA())</f>
        <v>#N/A</v>
      </c>
      <c r="X32" s="4" t="str">
        <f>IF(A32&lt;('2. Inputs and results'!$B$23+1),'2. Inputs and results'!$B$81*W31," ")</f>
        <v xml:space="preserve"> </v>
      </c>
      <c r="Y32" s="4">
        <f t="shared" si="2"/>
        <v>0</v>
      </c>
      <c r="Z32" s="4" t="e">
        <f>IF(A32&lt;('2. Inputs and results'!$B$23+1),Z31+(C32-$V$6+Y32)/((1+$P$2)^A32),NA())</f>
        <v>#N/A</v>
      </c>
      <c r="AA32" s="4" t="str">
        <f>IF(A32&lt;('2. Inputs and results'!$B$23+1),AA31+(G32+I32+H32+T32-$V$6)," ")</f>
        <v xml:space="preserve"> </v>
      </c>
      <c r="AB32" s="11" t="e">
        <f>IF(A32&lt;('2. Inputs and results'!$B$23+1),AA32/L32,NA())</f>
        <v>#N/A</v>
      </c>
      <c r="AC32" s="12" t="str">
        <f>IF(A32&lt;('2. Inputs and results'!$B$23+1),AC31+(C32+Y32-$V$6)," ")</f>
        <v xml:space="preserve"> </v>
      </c>
      <c r="AD32" s="11" t="e">
        <f>IF(A32&lt;('2. Inputs and results'!$B$23+1),AC32/L32,NA())</f>
        <v>#N/A</v>
      </c>
      <c r="AE32" t="str">
        <f>IF(A32&lt;('2. Inputs and results'!$B$23+1),-'2. Inputs and results'!$B$124*A32," ")</f>
        <v xml:space="preserve"> </v>
      </c>
      <c r="AF32" t="e">
        <f>IF(A32&lt;('2. Inputs and results'!$B$23+1),AE32/1000,NA())</f>
        <v>#N/A</v>
      </c>
    </row>
    <row r="33" spans="1:32">
      <c r="A33">
        <f t="shared" si="0"/>
        <v>28</v>
      </c>
      <c r="B33" t="str">
        <f>IF(A33&lt;('2. Inputs and results'!$B$23+1),A33," ")</f>
        <v xml:space="preserve"> </v>
      </c>
      <c r="C33" s="4" t="str">
        <f>IF(A33&lt;('2. Inputs and results'!$B$23+1),'2. Inputs and results'!$B$101+'2. Inputs and results'!$B$103," ")</f>
        <v xml:space="preserve"> </v>
      </c>
      <c r="D33" s="4" t="e">
        <f>IF(A33&lt;('2. Inputs and results'!$B$23+1),D32+C33,NA())</f>
        <v>#N/A</v>
      </c>
      <c r="E33" s="4" t="str">
        <f>IF(B33&lt;('2. Inputs and results'!$B$23+1),C33/((1+$P$2)^A33)," ")</f>
        <v xml:space="preserve"> </v>
      </c>
      <c r="F33" s="4" t="str">
        <f>IF(A33&lt;('2. Inputs and results'!$B$23+1),F32+E33," ")</f>
        <v xml:space="preserve"> </v>
      </c>
      <c r="G33" s="4" t="str">
        <f>IF(A33&lt;('2. Inputs and results'!$B$23+1),G32*(1+'2. Inputs and results'!$B$46)," ")</f>
        <v xml:space="preserve"> </v>
      </c>
      <c r="H33" s="4" t="str">
        <f>IF(A33&lt;('2. Inputs and results'!$B$23+1),H32*(1+'2. Inputs and results'!$B$58)," ")</f>
        <v xml:space="preserve"> </v>
      </c>
      <c r="I33" s="4" t="str">
        <f>IF(A33&lt;('2. Inputs and results'!$B$23+1),I32*(1+'2. Inputs and results'!$B$34)," ")</f>
        <v xml:space="preserve"> </v>
      </c>
      <c r="J33" s="4" t="str">
        <f>IF(A33&lt;('2. Inputs and results'!$B$23+1),J32*(1+'2. Inputs and results'!$B$68)," ")</f>
        <v xml:space="preserve"> </v>
      </c>
      <c r="K33" s="4" t="e">
        <f>IF('Solution 1, (hidden)'!A33&lt;('2. Inputs and results'!$B$23+1),K32+(G33+I33+H33+J33),NA())</f>
        <v>#N/A</v>
      </c>
      <c r="L33" s="4" t="e">
        <f>IF(A33&lt;('2. Inputs and results'!$B$23+1),L32,NA())</f>
        <v>#N/A</v>
      </c>
      <c r="M33" s="4" t="str">
        <f>IF(A33&lt;('2. Inputs and results'!$B$23+1),'2. Inputs and results'!$B$77*'2. Inputs and results'!$B$75," ")</f>
        <v xml:space="preserve"> </v>
      </c>
      <c r="N33" s="4" t="str">
        <f>IF(A33&lt;('2. Inputs and results'!$B$23+1),M33/((1+$P$2)^A33)," ")</f>
        <v xml:space="preserve"> </v>
      </c>
      <c r="O33" s="4" t="str">
        <f>IF(A33&lt;('2. Inputs and results'!$B$23+1),'2. Inputs and results'!$B$75*'2. Inputs and results'!$B$77+O32," ")</f>
        <v xml:space="preserve"> </v>
      </c>
      <c r="P33" s="4" t="str">
        <f>IF(A33&lt;('2. Inputs and results'!$B$23+1),(G33+I33+H33+J33)/((1+$P$2)^A33)," ")</f>
        <v xml:space="preserve"> </v>
      </c>
      <c r="Q33" s="4" t="str">
        <f>IF(A33&lt;('2. Inputs and results'!$B$23+1),Q32+P33," ")</f>
        <v xml:space="preserve"> </v>
      </c>
      <c r="R33" s="4" t="e">
        <f>IF(A33&lt;('2. Inputs and results'!$B$23+1),R32+G33+I33+J33+H33+T33-$V$6,NA())</f>
        <v>#N/A</v>
      </c>
      <c r="S33" s="4" t="str">
        <f>IF(A33&lt;('2. Inputs and results'!$B$23+1),'2. Inputs and results'!$B$81*(R32)," ")</f>
        <v xml:space="preserve"> </v>
      </c>
      <c r="T33" s="4">
        <f t="shared" si="1"/>
        <v>0</v>
      </c>
      <c r="U33" s="4" t="e">
        <f>IF(A33&lt;('2. Inputs and results'!$B$23+1),U32+(T33+I33+G33+H33+J33-$V$6)/((1+$P$2)^A33),NA())</f>
        <v>#N/A</v>
      </c>
      <c r="V33" s="4" t="str">
        <f>IF(A33&lt;('2. Inputs and results'!$B$23+1),V32+('2. Inputs and results'!$B$77*'2. Inputs and results'!$B$75)," ")</f>
        <v xml:space="preserve"> </v>
      </c>
      <c r="W33" s="4" t="e">
        <f>IF(A33&lt;('2. Inputs and results'!$B$23+1),W32+C33+Y33-$V$6,NA())</f>
        <v>#N/A</v>
      </c>
      <c r="X33" s="4" t="str">
        <f>IF(A33&lt;('2. Inputs and results'!$B$23+1),'2. Inputs and results'!$B$81*W32," ")</f>
        <v xml:space="preserve"> </v>
      </c>
      <c r="Y33" s="4">
        <f t="shared" si="2"/>
        <v>0</v>
      </c>
      <c r="Z33" s="4" t="e">
        <f>IF(A33&lt;('2. Inputs and results'!$B$23+1),Z32+(C33-$V$6+Y33)/((1+$P$2)^A33),NA())</f>
        <v>#N/A</v>
      </c>
      <c r="AA33" s="4" t="str">
        <f>IF(A33&lt;('2. Inputs and results'!$B$23+1),AA32+(G33+I33+H33+T33-$V$6)," ")</f>
        <v xml:space="preserve"> </v>
      </c>
      <c r="AB33" s="11" t="e">
        <f>IF(A33&lt;('2. Inputs and results'!$B$23+1),AA33/L33,NA())</f>
        <v>#N/A</v>
      </c>
      <c r="AC33" s="12" t="str">
        <f>IF(A33&lt;('2. Inputs and results'!$B$23+1),AC32+(C33+Y33-$V$6)," ")</f>
        <v xml:space="preserve"> </v>
      </c>
      <c r="AD33" s="11" t="e">
        <f>IF(A33&lt;('2. Inputs and results'!$B$23+1),AC33/L33,NA())</f>
        <v>#N/A</v>
      </c>
      <c r="AE33" t="str">
        <f>IF(A33&lt;('2. Inputs and results'!$B$23+1),-'2. Inputs and results'!$B$124*A33," ")</f>
        <v xml:space="preserve"> </v>
      </c>
      <c r="AF33" t="e">
        <f>IF(A33&lt;('2. Inputs and results'!$B$23+1),AE33/1000,NA())</f>
        <v>#N/A</v>
      </c>
    </row>
    <row r="34" spans="1:32">
      <c r="A34">
        <f t="shared" si="0"/>
        <v>29</v>
      </c>
      <c r="B34" t="str">
        <f>IF(A34&lt;('2. Inputs and results'!$B$23+1),A34," ")</f>
        <v xml:space="preserve"> </v>
      </c>
      <c r="C34" s="4" t="str">
        <f>IF(A34&lt;('2. Inputs and results'!$B$23+1),'2. Inputs and results'!$B$101+'2. Inputs and results'!$B$103," ")</f>
        <v xml:space="preserve"> </v>
      </c>
      <c r="D34" s="4" t="e">
        <f>IF(A34&lt;('2. Inputs and results'!$B$23+1),D33+C34,NA())</f>
        <v>#N/A</v>
      </c>
      <c r="E34" s="4" t="str">
        <f>IF(B34&lt;('2. Inputs and results'!$B$23+1),C34/((1+$P$2)^A34)," ")</f>
        <v xml:space="preserve"> </v>
      </c>
      <c r="F34" s="4" t="str">
        <f>IF(A34&lt;('2. Inputs and results'!$B$23+1),F33+E34," ")</f>
        <v xml:space="preserve"> </v>
      </c>
      <c r="G34" s="4" t="str">
        <f>IF(A34&lt;('2. Inputs and results'!$B$23+1),G33*(1+'2. Inputs and results'!$B$46)," ")</f>
        <v xml:space="preserve"> </v>
      </c>
      <c r="H34" s="4" t="str">
        <f>IF(A34&lt;('2. Inputs and results'!$B$23+1),H33*(1+'2. Inputs and results'!$B$58)," ")</f>
        <v xml:space="preserve"> </v>
      </c>
      <c r="I34" s="4" t="str">
        <f>IF(A34&lt;('2. Inputs and results'!$B$23+1),I33*(1+'2. Inputs and results'!$B$34)," ")</f>
        <v xml:space="preserve"> </v>
      </c>
      <c r="J34" s="4" t="str">
        <f>IF(A34&lt;('2. Inputs and results'!$B$23+1),J33*(1+'2. Inputs and results'!$B$68)," ")</f>
        <v xml:space="preserve"> </v>
      </c>
      <c r="K34" s="4" t="e">
        <f>IF('Solution 1, (hidden)'!A34&lt;('2. Inputs and results'!$B$23+1),K33+(G34+I34+H34+J34),NA())</f>
        <v>#N/A</v>
      </c>
      <c r="L34" s="4" t="e">
        <f>IF(A34&lt;('2. Inputs and results'!$B$23+1),L33,NA())</f>
        <v>#N/A</v>
      </c>
      <c r="M34" s="4" t="str">
        <f>IF(A34&lt;('2. Inputs and results'!$B$23+1),'2. Inputs and results'!$B$77*'2. Inputs and results'!$B$75," ")</f>
        <v xml:space="preserve"> </v>
      </c>
      <c r="N34" s="4" t="str">
        <f>IF(A34&lt;('2. Inputs and results'!$B$23+1),M34/((1+$P$2)^A34)," ")</f>
        <v xml:space="preserve"> </v>
      </c>
      <c r="O34" s="4" t="str">
        <f>IF(A34&lt;('2. Inputs and results'!$B$23+1),'2. Inputs and results'!$B$75*'2. Inputs and results'!$B$77+O33," ")</f>
        <v xml:space="preserve"> </v>
      </c>
      <c r="P34" s="4" t="str">
        <f>IF(A34&lt;('2. Inputs and results'!$B$23+1),(G34+I34+H34+J34)/((1+$P$2)^A34)," ")</f>
        <v xml:space="preserve"> </v>
      </c>
      <c r="Q34" s="4" t="str">
        <f>IF(A34&lt;('2. Inputs and results'!$B$23+1),Q33+P34," ")</f>
        <v xml:space="preserve"> </v>
      </c>
      <c r="R34" s="4" t="e">
        <f>IF(A34&lt;('2. Inputs and results'!$B$23+1),R33+G34+I34+J34+H34+T34-$V$6,NA())</f>
        <v>#N/A</v>
      </c>
      <c r="S34" s="4" t="str">
        <f>IF(A34&lt;('2. Inputs and results'!$B$23+1),'2. Inputs and results'!$B$81*(R33)," ")</f>
        <v xml:space="preserve"> </v>
      </c>
      <c r="T34" s="4">
        <f t="shared" si="1"/>
        <v>0</v>
      </c>
      <c r="U34" s="4" t="e">
        <f>IF(A34&lt;('2. Inputs and results'!$B$23+1),U33+(T34+I34+G34+H34+J34-$V$6)/((1+$P$2)^A34),NA())</f>
        <v>#N/A</v>
      </c>
      <c r="V34" s="4" t="str">
        <f>IF(A34&lt;('2. Inputs and results'!$B$23+1),V33+('2. Inputs and results'!$B$77*'2. Inputs and results'!$B$75)," ")</f>
        <v xml:space="preserve"> </v>
      </c>
      <c r="W34" s="4" t="e">
        <f>IF(A34&lt;('2. Inputs and results'!$B$23+1),W33+C34+Y34-$V$6,NA())</f>
        <v>#N/A</v>
      </c>
      <c r="X34" s="4" t="str">
        <f>IF(A34&lt;('2. Inputs and results'!$B$23+1),'2. Inputs and results'!$B$81*W33," ")</f>
        <v xml:space="preserve"> </v>
      </c>
      <c r="Y34" s="4">
        <f t="shared" si="2"/>
        <v>0</v>
      </c>
      <c r="Z34" s="4" t="e">
        <f>IF(A34&lt;('2. Inputs and results'!$B$23+1),Z33+(C34-$V$6+Y34)/((1+$P$2)^A34),NA())</f>
        <v>#N/A</v>
      </c>
      <c r="AA34" s="4" t="str">
        <f>IF(A34&lt;('2. Inputs and results'!$B$23+1),AA33+(G34+I34+H34+T34-$V$6)," ")</f>
        <v xml:space="preserve"> </v>
      </c>
      <c r="AB34" s="11" t="e">
        <f>IF(A34&lt;('2. Inputs and results'!$B$23+1),AA34/L34,NA())</f>
        <v>#N/A</v>
      </c>
      <c r="AC34" s="12" t="str">
        <f>IF(A34&lt;('2. Inputs and results'!$B$23+1),AC33+(C34+Y34-$V$6)," ")</f>
        <v xml:space="preserve"> </v>
      </c>
      <c r="AD34" s="11" t="e">
        <f>IF(A34&lt;('2. Inputs and results'!$B$23+1),AC34/L34,NA())</f>
        <v>#N/A</v>
      </c>
      <c r="AE34" t="str">
        <f>IF(A34&lt;('2. Inputs and results'!$B$23+1),-'2. Inputs and results'!$B$124*A34," ")</f>
        <v xml:space="preserve"> </v>
      </c>
      <c r="AF34" t="e">
        <f>IF(A34&lt;('2. Inputs and results'!$B$23+1),AE34/1000,NA())</f>
        <v>#N/A</v>
      </c>
    </row>
    <row r="35" spans="1:32">
      <c r="A35">
        <f t="shared" si="0"/>
        <v>30</v>
      </c>
      <c r="B35" t="str">
        <f>IF(A35&lt;('2. Inputs and results'!$B$23+1),A35," ")</f>
        <v xml:space="preserve"> </v>
      </c>
      <c r="C35" s="4" t="str">
        <f>IF(A35&lt;('2. Inputs and results'!$B$23+1),'2. Inputs and results'!$B$101+'2. Inputs and results'!$B$103," ")</f>
        <v xml:space="preserve"> </v>
      </c>
      <c r="D35" s="4" t="e">
        <f>IF(A35&lt;('2. Inputs and results'!$B$23+1),D34+C35,NA())</f>
        <v>#N/A</v>
      </c>
      <c r="E35" s="4" t="str">
        <f>IF(B35&lt;('2. Inputs and results'!$B$23+1),C35/((1+$P$2)^A35)," ")</f>
        <v xml:space="preserve"> </v>
      </c>
      <c r="F35" s="4" t="str">
        <f>IF(A35&lt;('2. Inputs and results'!$B$23+1),F34+E35," ")</f>
        <v xml:space="preserve"> </v>
      </c>
      <c r="G35" s="4" t="str">
        <f>IF(A35&lt;('2. Inputs and results'!$B$23+1),G34*(1+'2. Inputs and results'!$B$46)," ")</f>
        <v xml:space="preserve"> </v>
      </c>
      <c r="H35" s="4" t="str">
        <f>IF(A35&lt;('2. Inputs and results'!$B$23+1),H34*(1+'2. Inputs and results'!$B$58)," ")</f>
        <v xml:space="preserve"> </v>
      </c>
      <c r="I35" s="4" t="str">
        <f>IF(A35&lt;('2. Inputs and results'!$B$23+1),I34*(1+'2. Inputs and results'!$B$34)," ")</f>
        <v xml:space="preserve"> </v>
      </c>
      <c r="J35" s="4" t="str">
        <f>IF(A35&lt;('2. Inputs and results'!$B$23+1),J34*(1+'2. Inputs and results'!$B$68)," ")</f>
        <v xml:space="preserve"> </v>
      </c>
      <c r="K35" s="4" t="e">
        <f>IF('Solution 1, (hidden)'!A35&lt;('2. Inputs and results'!$B$23+1),K34+(G35+I35+H35+J35),NA())</f>
        <v>#N/A</v>
      </c>
      <c r="L35" s="4" t="e">
        <f>IF(A35&lt;('2. Inputs and results'!$B$23+1),L34,NA())</f>
        <v>#N/A</v>
      </c>
      <c r="M35" s="4" t="str">
        <f>IF(A35&lt;('2. Inputs and results'!$B$23+1),'2. Inputs and results'!$B$77*'2. Inputs and results'!$B$75," ")</f>
        <v xml:space="preserve"> </v>
      </c>
      <c r="N35" s="4" t="str">
        <f>IF(A35&lt;('2. Inputs and results'!$B$23+1),M35/((1+$P$2)^A35)," ")</f>
        <v xml:space="preserve"> </v>
      </c>
      <c r="O35" s="4" t="str">
        <f>IF(A35&lt;('2. Inputs and results'!$B$23+1),'2. Inputs and results'!$B$75*'2. Inputs and results'!$B$77+O34," ")</f>
        <v xml:space="preserve"> </v>
      </c>
      <c r="P35" s="4" t="str">
        <f>IF(A35&lt;('2. Inputs and results'!$B$23+1),(G35+I35+H35+J35)/((1+$P$2)^A35)," ")</f>
        <v xml:space="preserve"> </v>
      </c>
      <c r="Q35" s="4" t="str">
        <f>IF(A35&lt;('2. Inputs and results'!$B$23+1),Q34+P35," ")</f>
        <v xml:space="preserve"> </v>
      </c>
      <c r="R35" s="4" t="e">
        <f>IF(A35&lt;('2. Inputs and results'!$B$23+1),R34+G35+I35+J35+H35+T35-$V$6,NA())</f>
        <v>#N/A</v>
      </c>
      <c r="S35" s="4" t="str">
        <f>IF(A35&lt;('2. Inputs and results'!$B$23+1),'2. Inputs and results'!$B$81*(R34)," ")</f>
        <v xml:space="preserve"> </v>
      </c>
      <c r="T35" s="4">
        <f t="shared" si="1"/>
        <v>0</v>
      </c>
      <c r="U35" s="4" t="e">
        <f>IF(A35&lt;('2. Inputs and results'!$B$23+1),U34+(T35+I35+G35+H35+J35-$V$6)/((1+$P$2)^A35),NA())</f>
        <v>#N/A</v>
      </c>
      <c r="V35" s="4" t="str">
        <f>IF(A35&lt;('2. Inputs and results'!$B$23+1),V34+('2. Inputs and results'!$B$77*'2. Inputs and results'!$B$75)," ")</f>
        <v xml:space="preserve"> </v>
      </c>
      <c r="W35" s="4" t="e">
        <f>IF(A35&lt;('2. Inputs and results'!$B$23+1),W34+C35+Y35-$V$6,NA())</f>
        <v>#N/A</v>
      </c>
      <c r="X35" s="4" t="str">
        <f>IF(A35&lt;('2. Inputs and results'!$B$23+1),'2. Inputs and results'!$B$81*W34," ")</f>
        <v xml:space="preserve"> </v>
      </c>
      <c r="Y35" s="4">
        <f t="shared" si="2"/>
        <v>0</v>
      </c>
      <c r="Z35" s="4" t="e">
        <f>IF(A35&lt;('2. Inputs and results'!$B$23+1),Z34+(C35-$V$6+Y35)/((1+$P$2)^A35),NA())</f>
        <v>#N/A</v>
      </c>
      <c r="AA35" s="4" t="str">
        <f>IF(A35&lt;('2. Inputs and results'!$B$23+1),AA34+(G35+I35+H35+T35-$V$6)," ")</f>
        <v xml:space="preserve"> </v>
      </c>
      <c r="AB35" s="11" t="e">
        <f>IF(A35&lt;('2. Inputs and results'!$B$23+1),AA35/L35,NA())</f>
        <v>#N/A</v>
      </c>
      <c r="AC35" s="12" t="str">
        <f>IF(A35&lt;('2. Inputs and results'!$B$23+1),AC34+(C35+Y35-$V$6)," ")</f>
        <v xml:space="preserve"> </v>
      </c>
      <c r="AD35" s="11" t="e">
        <f>IF(A35&lt;('2. Inputs and results'!$B$23+1),AC35/L35,NA())</f>
        <v>#N/A</v>
      </c>
      <c r="AE35" t="str">
        <f>IF(A35&lt;('2. Inputs and results'!$B$23+1),-'2. Inputs and results'!$B$124*A35," ")</f>
        <v xml:space="preserve"> </v>
      </c>
      <c r="AF35" t="e">
        <f>IF(A35&lt;('2. Inputs and results'!$B$23+1),AE35/1000,NA())</f>
        <v>#N/A</v>
      </c>
    </row>
    <row r="36" spans="1:32">
      <c r="A36">
        <f t="shared" si="0"/>
        <v>31</v>
      </c>
      <c r="B36" t="str">
        <f>IF(A36&lt;('2. Inputs and results'!$B$23+1),A36," ")</f>
        <v xml:space="preserve"> </v>
      </c>
      <c r="C36" s="4" t="str">
        <f>IF(A36&lt;('2. Inputs and results'!$B$23+1),'2. Inputs and results'!$B$101+'2. Inputs and results'!$B$103," ")</f>
        <v xml:space="preserve"> </v>
      </c>
      <c r="D36" s="4" t="e">
        <f>IF(A36&lt;('2. Inputs and results'!$B$23+1),D35+C36,NA())</f>
        <v>#N/A</v>
      </c>
      <c r="E36" s="4" t="str">
        <f>IF(B36&lt;('2. Inputs and results'!$B$23+1),C36/((1+$P$2)^A36)," ")</f>
        <v xml:space="preserve"> </v>
      </c>
      <c r="F36" s="4" t="str">
        <f>IF(A36&lt;('2. Inputs and results'!$B$23+1),F35+E36," ")</f>
        <v xml:space="preserve"> </v>
      </c>
      <c r="G36" s="4" t="str">
        <f>IF(A36&lt;('2. Inputs and results'!$B$23+1),G35*(1+'2. Inputs and results'!$B$46)," ")</f>
        <v xml:space="preserve"> </v>
      </c>
      <c r="H36" s="4" t="str">
        <f>IF(A36&lt;('2. Inputs and results'!$B$23+1),H35*(1+'2. Inputs and results'!$B$58)," ")</f>
        <v xml:space="preserve"> </v>
      </c>
      <c r="I36" s="4" t="str">
        <f>IF(A36&lt;('2. Inputs and results'!$B$23+1),I35*(1+'2. Inputs and results'!$B$34)," ")</f>
        <v xml:space="preserve"> </v>
      </c>
      <c r="J36" s="4" t="str">
        <f>IF(A36&lt;('2. Inputs and results'!$B$23+1),J35*(1+'2. Inputs and results'!$B$68)," ")</f>
        <v xml:space="preserve"> </v>
      </c>
      <c r="K36" s="4" t="e">
        <f>IF('Solution 1, (hidden)'!A36&lt;('2. Inputs and results'!$B$23+1),K35+(G36+I36+H36+J36),NA())</f>
        <v>#N/A</v>
      </c>
      <c r="L36" s="4" t="e">
        <f>IF(A36&lt;('2. Inputs and results'!$B$23+1),L35,NA())</f>
        <v>#N/A</v>
      </c>
      <c r="M36" s="4" t="str">
        <f>IF(A36&lt;('2. Inputs and results'!$B$23+1),'2. Inputs and results'!$B$77*'2. Inputs and results'!$B$75," ")</f>
        <v xml:space="preserve"> </v>
      </c>
      <c r="N36" s="4" t="str">
        <f>IF(A36&lt;('2. Inputs and results'!$B$23+1),M36/((1+$P$2)^A36)," ")</f>
        <v xml:space="preserve"> </v>
      </c>
      <c r="O36" s="4" t="str">
        <f>IF(A36&lt;('2. Inputs and results'!$B$23+1),'2. Inputs and results'!$B$75*'2. Inputs and results'!$B$77+O35," ")</f>
        <v xml:space="preserve"> </v>
      </c>
      <c r="P36" s="4" t="str">
        <f>IF(A36&lt;('2. Inputs and results'!$B$23+1),(G36+I36+H36+J36)/((1+$P$2)^A36)," ")</f>
        <v xml:space="preserve"> </v>
      </c>
      <c r="Q36" s="4" t="str">
        <f>IF(A36&lt;('2. Inputs and results'!$B$23+1),Q35+P36," ")</f>
        <v xml:space="preserve"> </v>
      </c>
      <c r="R36" s="4" t="e">
        <f>IF(A36&lt;('2. Inputs and results'!$B$23+1),R35+G36+I36+J36+H36+T36-$V$6,NA())</f>
        <v>#N/A</v>
      </c>
      <c r="S36" s="4" t="str">
        <f>IF(A36&lt;('2. Inputs and results'!$B$23+1),'2. Inputs and results'!$B$81*(R35)," ")</f>
        <v xml:space="preserve"> </v>
      </c>
      <c r="T36" s="4">
        <f t="shared" si="1"/>
        <v>0</v>
      </c>
      <c r="U36" s="4" t="e">
        <f>IF(A36&lt;('2. Inputs and results'!$B$23+1),U35+(T36+I36+G36+H36+J36-$V$6)/((1+$P$2)^A36),NA())</f>
        <v>#N/A</v>
      </c>
      <c r="V36" s="4" t="str">
        <f>IF(A36&lt;('2. Inputs and results'!$B$23+1),V35+('2. Inputs and results'!$B$77*'2. Inputs and results'!$B$75)," ")</f>
        <v xml:space="preserve"> </v>
      </c>
      <c r="W36" s="4" t="e">
        <f>IF(A36&lt;('2. Inputs and results'!$B$23+1),W35+C36+Y36-$V$6,NA())</f>
        <v>#N/A</v>
      </c>
      <c r="X36" s="4" t="str">
        <f>IF(A36&lt;('2. Inputs and results'!$B$23+1),'2. Inputs and results'!$B$81*W35," ")</f>
        <v xml:space="preserve"> </v>
      </c>
      <c r="Y36" s="4">
        <f t="shared" si="2"/>
        <v>0</v>
      </c>
      <c r="Z36" s="4" t="e">
        <f>IF(A36&lt;('2. Inputs and results'!$B$23+1),Z35+(C36-$V$6+Y36)/((1+$P$2)^A36),NA())</f>
        <v>#N/A</v>
      </c>
      <c r="AA36" s="4" t="str">
        <f>IF(A36&lt;('2. Inputs and results'!$B$23+1),AA35+(G36+I36+H36+T36-$V$6)," ")</f>
        <v xml:space="preserve"> </v>
      </c>
      <c r="AB36" s="11" t="e">
        <f>IF(A36&lt;('2. Inputs and results'!$B$23+1),AA36/L36,NA())</f>
        <v>#N/A</v>
      </c>
      <c r="AC36" s="12" t="str">
        <f>IF(A36&lt;('2. Inputs and results'!$B$23+1),AC35+(C36+Y36-$V$6)," ")</f>
        <v xml:space="preserve"> </v>
      </c>
      <c r="AD36" s="11" t="e">
        <f>IF(A36&lt;('2. Inputs and results'!$B$23+1),AC36/L36,NA())</f>
        <v>#N/A</v>
      </c>
      <c r="AE36" t="str">
        <f>IF(A36&lt;('2. Inputs and results'!$B$23+1),-'2. Inputs and results'!$B$124*A36," ")</f>
        <v xml:space="preserve"> </v>
      </c>
      <c r="AF36" t="e">
        <f>IF(A36&lt;('2. Inputs and results'!$B$23+1),AE36/1000,NA())</f>
        <v>#N/A</v>
      </c>
    </row>
    <row r="37" spans="1:32">
      <c r="A37">
        <f t="shared" si="0"/>
        <v>32</v>
      </c>
      <c r="B37" t="str">
        <f>IF(A37&lt;('2. Inputs and results'!$B$23+1),A37," ")</f>
        <v xml:space="preserve"> </v>
      </c>
      <c r="C37" s="4" t="str">
        <f>IF(A37&lt;('2. Inputs and results'!$B$23+1),'2. Inputs and results'!$B$101+'2. Inputs and results'!$B$103," ")</f>
        <v xml:space="preserve"> </v>
      </c>
      <c r="D37" s="4" t="e">
        <f>IF(A37&lt;('2. Inputs and results'!$B$23+1),D36+C37,NA())</f>
        <v>#N/A</v>
      </c>
      <c r="E37" s="4" t="str">
        <f>IF(B37&lt;('2. Inputs and results'!$B$23+1),C37/((1+$P$2)^A37)," ")</f>
        <v xml:space="preserve"> </v>
      </c>
      <c r="F37" s="4" t="str">
        <f>IF(A37&lt;('2. Inputs and results'!$B$23+1),F36+E37," ")</f>
        <v xml:space="preserve"> </v>
      </c>
      <c r="G37" s="4" t="str">
        <f>IF(A37&lt;('2. Inputs and results'!$B$23+1),G36*(1+'2. Inputs and results'!$B$46)," ")</f>
        <v xml:space="preserve"> </v>
      </c>
      <c r="H37" s="4" t="str">
        <f>IF(A37&lt;('2. Inputs and results'!$B$23+1),H36*(1+'2. Inputs and results'!$B$58)," ")</f>
        <v xml:space="preserve"> </v>
      </c>
      <c r="I37" s="4" t="str">
        <f>IF(A37&lt;('2. Inputs and results'!$B$23+1),I36*(1+'2. Inputs and results'!$B$34)," ")</f>
        <v xml:space="preserve"> </v>
      </c>
      <c r="J37" s="4" t="str">
        <f>IF(A37&lt;('2. Inputs and results'!$B$23+1),J36*(1+'2. Inputs and results'!$B$68)," ")</f>
        <v xml:space="preserve"> </v>
      </c>
      <c r="K37" s="4" t="e">
        <f>IF('Solution 1, (hidden)'!A37&lt;('2. Inputs and results'!$B$23+1),K36+(G37+I37+H37+J37),NA())</f>
        <v>#N/A</v>
      </c>
      <c r="L37" s="4" t="e">
        <f>IF(A37&lt;('2. Inputs and results'!$B$23+1),L36,NA())</f>
        <v>#N/A</v>
      </c>
      <c r="M37" s="4" t="str">
        <f>IF(A37&lt;('2. Inputs and results'!$B$23+1),'2. Inputs and results'!$B$77*'2. Inputs and results'!$B$75," ")</f>
        <v xml:space="preserve"> </v>
      </c>
      <c r="N37" s="4" t="str">
        <f>IF(A37&lt;('2. Inputs and results'!$B$23+1),M37/((1+$P$2)^A37)," ")</f>
        <v xml:space="preserve"> </v>
      </c>
      <c r="O37" s="4" t="str">
        <f>IF(A37&lt;('2. Inputs and results'!$B$23+1),'2. Inputs and results'!$B$75*'2. Inputs and results'!$B$77+O36," ")</f>
        <v xml:space="preserve"> </v>
      </c>
      <c r="P37" s="4" t="str">
        <f>IF(A37&lt;('2. Inputs and results'!$B$23+1),(G37+I37+H37+J37)/((1+$P$2)^A37)," ")</f>
        <v xml:space="preserve"> </v>
      </c>
      <c r="Q37" s="4" t="str">
        <f>IF(A37&lt;('2. Inputs and results'!$B$23+1),Q36+P37," ")</f>
        <v xml:space="preserve"> </v>
      </c>
      <c r="R37" s="4" t="e">
        <f>IF(A37&lt;('2. Inputs and results'!$B$23+1),R36+G37+I37+J37+H37+T37-$V$6,NA())</f>
        <v>#N/A</v>
      </c>
      <c r="S37" s="4" t="str">
        <f>IF(A37&lt;('2. Inputs and results'!$B$23+1),'2. Inputs and results'!$B$81*(R36)," ")</f>
        <v xml:space="preserve"> </v>
      </c>
      <c r="T37" s="4">
        <f t="shared" si="1"/>
        <v>0</v>
      </c>
      <c r="U37" s="4" t="e">
        <f>IF(A37&lt;('2. Inputs and results'!$B$23+1),U36+(T37+I37+G37+H37+J37-$V$6)/((1+$P$2)^A37),NA())</f>
        <v>#N/A</v>
      </c>
      <c r="V37" s="4" t="str">
        <f>IF(A37&lt;('2. Inputs and results'!$B$23+1),V36+('2. Inputs and results'!$B$77*'2. Inputs and results'!$B$75)," ")</f>
        <v xml:space="preserve"> </v>
      </c>
      <c r="W37" s="4" t="e">
        <f>IF(A37&lt;('2. Inputs and results'!$B$23+1),W36+C37+Y37-$V$6,NA())</f>
        <v>#N/A</v>
      </c>
      <c r="X37" s="4" t="str">
        <f>IF(A37&lt;('2. Inputs and results'!$B$23+1),'2. Inputs and results'!$B$81*W36," ")</f>
        <v xml:space="preserve"> </v>
      </c>
      <c r="Y37" s="4">
        <f t="shared" si="2"/>
        <v>0</v>
      </c>
      <c r="Z37" s="4" t="e">
        <f>IF(A37&lt;('2. Inputs and results'!$B$23+1),Z36+(C37-$V$6+Y37)/((1+$P$2)^A37),NA())</f>
        <v>#N/A</v>
      </c>
      <c r="AA37" s="4" t="str">
        <f>IF(A37&lt;('2. Inputs and results'!$B$23+1),AA36+(G37+I37+H37+T37-$V$6)," ")</f>
        <v xml:space="preserve"> </v>
      </c>
      <c r="AB37" s="11" t="e">
        <f>IF(A37&lt;('2. Inputs and results'!$B$23+1),AA37/L37,NA())</f>
        <v>#N/A</v>
      </c>
      <c r="AC37" s="12" t="str">
        <f>IF(A37&lt;('2. Inputs and results'!$B$23+1),AC36+(C37+Y37-$V$6)," ")</f>
        <v xml:space="preserve"> </v>
      </c>
      <c r="AD37" s="11" t="e">
        <f>IF(A37&lt;('2. Inputs and results'!$B$23+1),AC37/L37,NA())</f>
        <v>#N/A</v>
      </c>
      <c r="AE37" t="str">
        <f>IF(A37&lt;('2. Inputs and results'!$B$23+1),-'2. Inputs and results'!$B$124*A37," ")</f>
        <v xml:space="preserve"> </v>
      </c>
      <c r="AF37" t="e">
        <f>IF(A37&lt;('2. Inputs and results'!$B$23+1),AE37/1000,NA())</f>
        <v>#N/A</v>
      </c>
    </row>
    <row r="38" spans="1:32">
      <c r="A38">
        <f t="shared" si="0"/>
        <v>33</v>
      </c>
      <c r="B38" t="str">
        <f>IF(A38&lt;('2. Inputs and results'!$B$23+1),A38," ")</f>
        <v xml:space="preserve"> </v>
      </c>
      <c r="C38" s="4" t="str">
        <f>IF(A38&lt;('2. Inputs and results'!$B$23+1),'2. Inputs and results'!$B$101+'2. Inputs and results'!$B$103," ")</f>
        <v xml:space="preserve"> </v>
      </c>
      <c r="D38" s="4" t="e">
        <f>IF(A38&lt;('2. Inputs and results'!$B$23+1),D37+C38,NA())</f>
        <v>#N/A</v>
      </c>
      <c r="E38" s="4" t="str">
        <f>IF(B38&lt;('2. Inputs and results'!$B$23+1),C38/((1+$P$2)^A38)," ")</f>
        <v xml:space="preserve"> </v>
      </c>
      <c r="F38" s="4" t="str">
        <f>IF(A38&lt;('2. Inputs and results'!$B$23+1),F37+E38," ")</f>
        <v xml:space="preserve"> </v>
      </c>
      <c r="G38" s="4" t="str">
        <f>IF(A38&lt;('2. Inputs and results'!$B$23+1),G37*(1+'2. Inputs and results'!$B$46)," ")</f>
        <v xml:space="preserve"> </v>
      </c>
      <c r="H38" s="4" t="str">
        <f>IF(A38&lt;('2. Inputs and results'!$B$23+1),H37*(1+'2. Inputs and results'!$B$58)," ")</f>
        <v xml:space="preserve"> </v>
      </c>
      <c r="I38" s="4" t="str">
        <f>IF(A38&lt;('2. Inputs and results'!$B$23+1),I37*(1+'2. Inputs and results'!$B$34)," ")</f>
        <v xml:space="preserve"> </v>
      </c>
      <c r="J38" s="4" t="str">
        <f>IF(A38&lt;('2. Inputs and results'!$B$23+1),J37*(1+'2. Inputs and results'!$B$68)," ")</f>
        <v xml:space="preserve"> </v>
      </c>
      <c r="K38" s="4" t="e">
        <f>IF('Solution 1, (hidden)'!A38&lt;('2. Inputs and results'!$B$23+1),K37+(G38+I38+H38+J38),NA())</f>
        <v>#N/A</v>
      </c>
      <c r="L38" s="4" t="e">
        <f>IF(A38&lt;('2. Inputs and results'!$B$23+1),L37,NA())</f>
        <v>#N/A</v>
      </c>
      <c r="M38" s="4" t="str">
        <f>IF(A38&lt;('2. Inputs and results'!$B$23+1),'2. Inputs and results'!$B$77*'2. Inputs and results'!$B$75," ")</f>
        <v xml:space="preserve"> </v>
      </c>
      <c r="N38" s="4" t="str">
        <f>IF(A38&lt;('2. Inputs and results'!$B$23+1),M38/((1+$P$2)^A38)," ")</f>
        <v xml:space="preserve"> </v>
      </c>
      <c r="O38" s="4" t="str">
        <f>IF(A38&lt;('2. Inputs and results'!$B$23+1),'2. Inputs and results'!$B$75*'2. Inputs and results'!$B$77+O37," ")</f>
        <v xml:space="preserve"> </v>
      </c>
      <c r="P38" s="4" t="str">
        <f>IF(A38&lt;('2. Inputs and results'!$B$23+1),(G38+I38+H38+J38)/((1+$P$2)^A38)," ")</f>
        <v xml:space="preserve"> </v>
      </c>
      <c r="Q38" s="4" t="str">
        <f>IF(A38&lt;('2. Inputs and results'!$B$23+1),Q37+P38," ")</f>
        <v xml:space="preserve"> </v>
      </c>
      <c r="R38" s="4" t="e">
        <f>IF(A38&lt;('2. Inputs and results'!$B$23+1),R37+G38+I38+J38+H38+T38-$V$6,NA())</f>
        <v>#N/A</v>
      </c>
      <c r="S38" s="4" t="str">
        <f>IF(A38&lt;('2. Inputs and results'!$B$23+1),'2. Inputs and results'!$B$81*(R37)," ")</f>
        <v xml:space="preserve"> </v>
      </c>
      <c r="T38" s="4">
        <f t="shared" si="1"/>
        <v>0</v>
      </c>
      <c r="U38" s="4" t="e">
        <f>IF(A38&lt;('2. Inputs and results'!$B$23+1),U37+(T38+I38+G38+H38+J38-$V$6)/((1+$P$2)^A38),NA())</f>
        <v>#N/A</v>
      </c>
      <c r="V38" s="4" t="str">
        <f>IF(A38&lt;('2. Inputs and results'!$B$23+1),V37+('2. Inputs and results'!$B$77*'2. Inputs and results'!$B$75)," ")</f>
        <v xml:space="preserve"> </v>
      </c>
      <c r="W38" s="4" t="e">
        <f>IF(A38&lt;('2. Inputs and results'!$B$23+1),W37+C38+Y38-$V$6,NA())</f>
        <v>#N/A</v>
      </c>
      <c r="X38" s="4" t="str">
        <f>IF(A38&lt;('2. Inputs and results'!$B$23+1),'2. Inputs and results'!$B$81*W37," ")</f>
        <v xml:space="preserve"> </v>
      </c>
      <c r="Y38" s="4">
        <f t="shared" si="2"/>
        <v>0</v>
      </c>
      <c r="Z38" s="4" t="e">
        <f>IF(A38&lt;('2. Inputs and results'!$B$23+1),Z37+(C38-$V$6+Y38)/((1+$P$2)^A38),NA())</f>
        <v>#N/A</v>
      </c>
      <c r="AA38" s="4" t="str">
        <f>IF(A38&lt;('2. Inputs and results'!$B$23+1),AA37+(G38+I38+H38+T38-$V$6)," ")</f>
        <v xml:space="preserve"> </v>
      </c>
      <c r="AB38" s="11" t="e">
        <f>IF(A38&lt;('2. Inputs and results'!$B$23+1),AA38/L38,NA())</f>
        <v>#N/A</v>
      </c>
      <c r="AC38" s="12" t="str">
        <f>IF(A38&lt;('2. Inputs and results'!$B$23+1),AC37+(C38+Y38-$V$6)," ")</f>
        <v xml:space="preserve"> </v>
      </c>
      <c r="AD38" s="11" t="e">
        <f>IF(A38&lt;('2. Inputs and results'!$B$23+1),AC38/L38,NA())</f>
        <v>#N/A</v>
      </c>
      <c r="AE38" t="str">
        <f>IF(A38&lt;('2. Inputs and results'!$B$23+1),-'2. Inputs and results'!$B$124*A38," ")</f>
        <v xml:space="preserve"> </v>
      </c>
      <c r="AF38" t="e">
        <f>IF(A38&lt;('2. Inputs and results'!$B$23+1),AE38/1000,NA())</f>
        <v>#N/A</v>
      </c>
    </row>
    <row r="39" spans="1:32">
      <c r="A39">
        <f t="shared" si="0"/>
        <v>34</v>
      </c>
      <c r="B39" t="str">
        <f>IF(A39&lt;('2. Inputs and results'!$B$23+1),A39," ")</f>
        <v xml:space="preserve"> </v>
      </c>
      <c r="C39" s="4" t="str">
        <f>IF(A39&lt;('2. Inputs and results'!$B$23+1),'2. Inputs and results'!$B$101+'2. Inputs and results'!$B$103," ")</f>
        <v xml:space="preserve"> </v>
      </c>
      <c r="D39" s="4" t="e">
        <f>IF(A39&lt;('2. Inputs and results'!$B$23+1),D38+C39,NA())</f>
        <v>#N/A</v>
      </c>
      <c r="E39" s="4" t="str">
        <f>IF(B39&lt;('2. Inputs and results'!$B$23+1),C39/((1+$P$2)^A39)," ")</f>
        <v xml:space="preserve"> </v>
      </c>
      <c r="F39" s="4" t="str">
        <f>IF(A39&lt;('2. Inputs and results'!$B$23+1),F38+E39," ")</f>
        <v xml:space="preserve"> </v>
      </c>
      <c r="G39" s="4" t="str">
        <f>IF(A39&lt;('2. Inputs and results'!$B$23+1),G38*(1+'2. Inputs and results'!$B$46)," ")</f>
        <v xml:space="preserve"> </v>
      </c>
      <c r="H39" s="4" t="str">
        <f>IF(A39&lt;('2. Inputs and results'!$B$23+1),H38*(1+'2. Inputs and results'!$B$58)," ")</f>
        <v xml:space="preserve"> </v>
      </c>
      <c r="I39" s="4" t="str">
        <f>IF(A39&lt;('2. Inputs and results'!$B$23+1),I38*(1+'2. Inputs and results'!$B$34)," ")</f>
        <v xml:space="preserve"> </v>
      </c>
      <c r="J39" s="4" t="str">
        <f>IF(A39&lt;('2. Inputs and results'!$B$23+1),J38*(1+'2. Inputs and results'!$B$68)," ")</f>
        <v xml:space="preserve"> </v>
      </c>
      <c r="K39" s="4" t="e">
        <f>IF('Solution 1, (hidden)'!A39&lt;('2. Inputs and results'!$B$23+1),K38+(G39+I39+H39+J39),NA())</f>
        <v>#N/A</v>
      </c>
      <c r="L39" s="4" t="e">
        <f>IF(A39&lt;('2. Inputs and results'!$B$23+1),L38,NA())</f>
        <v>#N/A</v>
      </c>
      <c r="M39" s="4" t="str">
        <f>IF(A39&lt;('2. Inputs and results'!$B$23+1),'2. Inputs and results'!$B$77*'2. Inputs and results'!$B$75," ")</f>
        <v xml:space="preserve"> </v>
      </c>
      <c r="N39" s="4" t="str">
        <f>IF(A39&lt;('2. Inputs and results'!$B$23+1),M39/((1+$P$2)^A39)," ")</f>
        <v xml:space="preserve"> </v>
      </c>
      <c r="O39" s="4" t="str">
        <f>IF(A39&lt;('2. Inputs and results'!$B$23+1),'2. Inputs and results'!$B$75*'2. Inputs and results'!$B$77+O38," ")</f>
        <v xml:space="preserve"> </v>
      </c>
      <c r="P39" s="4" t="str">
        <f>IF(A39&lt;('2. Inputs and results'!$B$23+1),(G39+I39+H39+J39)/((1+$P$2)^A39)," ")</f>
        <v xml:space="preserve"> </v>
      </c>
      <c r="Q39" s="4" t="str">
        <f>IF(A39&lt;('2. Inputs and results'!$B$23+1),Q38+P39," ")</f>
        <v xml:space="preserve"> </v>
      </c>
      <c r="R39" s="4" t="e">
        <f>IF(A39&lt;('2. Inputs and results'!$B$23+1),R38+G39+I39+J39+H39+T39-$V$6,NA())</f>
        <v>#N/A</v>
      </c>
      <c r="S39" s="4" t="str">
        <f>IF(A39&lt;('2. Inputs and results'!$B$23+1),'2. Inputs and results'!$B$81*(R38)," ")</f>
        <v xml:space="preserve"> </v>
      </c>
      <c r="T39" s="4">
        <f t="shared" si="1"/>
        <v>0</v>
      </c>
      <c r="U39" s="4" t="e">
        <f>IF(A39&lt;('2. Inputs and results'!$B$23+1),U38+(T39+I39+G39+H39+J39-$V$6)/((1+$P$2)^A39),NA())</f>
        <v>#N/A</v>
      </c>
      <c r="V39" s="4" t="str">
        <f>IF(A39&lt;('2. Inputs and results'!$B$23+1),V38+('2. Inputs and results'!$B$77*'2. Inputs and results'!$B$75)," ")</f>
        <v xml:space="preserve"> </v>
      </c>
      <c r="W39" s="4" t="e">
        <f>IF(A39&lt;('2. Inputs and results'!$B$23+1),W38+C39+Y39-$V$6,NA())</f>
        <v>#N/A</v>
      </c>
      <c r="X39" s="4" t="str">
        <f>IF(A39&lt;('2. Inputs and results'!$B$23+1),'2. Inputs and results'!$B$81*W38," ")</f>
        <v xml:space="preserve"> </v>
      </c>
      <c r="Y39" s="4">
        <f t="shared" si="2"/>
        <v>0</v>
      </c>
      <c r="Z39" s="4" t="e">
        <f>IF(A39&lt;('2. Inputs and results'!$B$23+1),Z38+(C39-$V$6+Y39)/((1+$P$2)^A39),NA())</f>
        <v>#N/A</v>
      </c>
      <c r="AA39" s="4" t="str">
        <f>IF(A39&lt;('2. Inputs and results'!$B$23+1),AA38+(G39+I39+H39+T39-$V$6)," ")</f>
        <v xml:space="preserve"> </v>
      </c>
      <c r="AB39" s="11" t="e">
        <f>IF(A39&lt;('2. Inputs and results'!$B$23+1),AA39/L39,NA())</f>
        <v>#N/A</v>
      </c>
      <c r="AC39" s="12" t="str">
        <f>IF(A39&lt;('2. Inputs and results'!$B$23+1),AC38+(C39+Y39-$V$6)," ")</f>
        <v xml:space="preserve"> </v>
      </c>
      <c r="AD39" s="11" t="e">
        <f>IF(A39&lt;('2. Inputs and results'!$B$23+1),AC39/L39,NA())</f>
        <v>#N/A</v>
      </c>
      <c r="AE39" t="str">
        <f>IF(A39&lt;('2. Inputs and results'!$B$23+1),-'2. Inputs and results'!$B$124*A39," ")</f>
        <v xml:space="preserve"> </v>
      </c>
      <c r="AF39" t="e">
        <f>IF(A39&lt;('2. Inputs and results'!$B$23+1),AE39/1000,NA())</f>
        <v>#N/A</v>
      </c>
    </row>
    <row r="40" spans="1:32">
      <c r="A40">
        <f t="shared" si="0"/>
        <v>35</v>
      </c>
      <c r="B40" t="str">
        <f>IF(A40&lt;('2. Inputs and results'!$B$23+1),A40," ")</f>
        <v xml:space="preserve"> </v>
      </c>
      <c r="C40" s="4" t="str">
        <f>IF(A40&lt;('2. Inputs and results'!$B$23+1),'2. Inputs and results'!$B$101+'2. Inputs and results'!$B$103," ")</f>
        <v xml:space="preserve"> </v>
      </c>
      <c r="D40" s="4" t="e">
        <f>IF(A40&lt;('2. Inputs and results'!$B$23+1),D39+C40,NA())</f>
        <v>#N/A</v>
      </c>
      <c r="E40" s="4" t="str">
        <f>IF(B40&lt;('2. Inputs and results'!$B$23+1),C40/((1+$P$2)^A40)," ")</f>
        <v xml:space="preserve"> </v>
      </c>
      <c r="F40" s="4" t="str">
        <f>IF(A40&lt;('2. Inputs and results'!$B$23+1),F39+E40," ")</f>
        <v xml:space="preserve"> </v>
      </c>
      <c r="G40" s="4" t="str">
        <f>IF(A40&lt;('2. Inputs and results'!$B$23+1),G39*(1+'2. Inputs and results'!$B$46)," ")</f>
        <v xml:space="preserve"> </v>
      </c>
      <c r="H40" s="4" t="str">
        <f>IF(A40&lt;('2. Inputs and results'!$B$23+1),H39*(1+'2. Inputs and results'!$B$58)," ")</f>
        <v xml:space="preserve"> </v>
      </c>
      <c r="I40" s="4" t="str">
        <f>IF(A40&lt;('2. Inputs and results'!$B$23+1),I39*(1+'2. Inputs and results'!$B$34)," ")</f>
        <v xml:space="preserve"> </v>
      </c>
      <c r="J40" s="4" t="str">
        <f>IF(A40&lt;('2. Inputs and results'!$B$23+1),J39*(1+'2. Inputs and results'!$B$68)," ")</f>
        <v xml:space="preserve"> </v>
      </c>
      <c r="K40" s="4" t="e">
        <f>IF('Solution 1, (hidden)'!A40&lt;('2. Inputs and results'!$B$23+1),K39+(G40+I40+H40+J40),NA())</f>
        <v>#N/A</v>
      </c>
      <c r="L40" s="4" t="e">
        <f>IF(A40&lt;('2. Inputs and results'!$B$23+1),L39,NA())</f>
        <v>#N/A</v>
      </c>
      <c r="M40" s="4" t="str">
        <f>IF(A40&lt;('2. Inputs and results'!$B$23+1),'2. Inputs and results'!$B$77*'2. Inputs and results'!$B$75," ")</f>
        <v xml:space="preserve"> </v>
      </c>
      <c r="N40" s="4" t="str">
        <f>IF(A40&lt;('2. Inputs and results'!$B$23+1),M40/((1+$P$2)^A40)," ")</f>
        <v xml:space="preserve"> </v>
      </c>
      <c r="O40" s="4" t="str">
        <f>IF(A40&lt;('2. Inputs and results'!$B$23+1),'2. Inputs and results'!$B$75*'2. Inputs and results'!$B$77+O39," ")</f>
        <v xml:space="preserve"> </v>
      </c>
      <c r="P40" s="4" t="str">
        <f>IF(A40&lt;('2. Inputs and results'!$B$23+1),(G40+I40+H40+J40)/((1+$P$2)^A40)," ")</f>
        <v xml:space="preserve"> </v>
      </c>
      <c r="Q40" s="4" t="str">
        <f>IF(A40&lt;('2. Inputs and results'!$B$23+1),Q39+P40," ")</f>
        <v xml:space="preserve"> </v>
      </c>
      <c r="R40" s="4" t="e">
        <f>IF(A40&lt;('2. Inputs and results'!$B$23+1),R39+G40+I40+J40+H40+T40-$V$6,NA())</f>
        <v>#N/A</v>
      </c>
      <c r="S40" s="4" t="str">
        <f>IF(A40&lt;('2. Inputs and results'!$B$23+1),'2. Inputs and results'!$B$81*(R39)," ")</f>
        <v xml:space="preserve"> </v>
      </c>
      <c r="T40" s="4">
        <f t="shared" si="1"/>
        <v>0</v>
      </c>
      <c r="U40" s="4" t="e">
        <f>IF(A40&lt;('2. Inputs and results'!$B$23+1),U39+(T40+I40+G40+H40+J40-$V$6)/((1+$P$2)^A40),NA())</f>
        <v>#N/A</v>
      </c>
      <c r="V40" s="4" t="str">
        <f>IF(A40&lt;('2. Inputs and results'!$B$23+1),V39+('2. Inputs and results'!$B$77*'2. Inputs and results'!$B$75)," ")</f>
        <v xml:space="preserve"> </v>
      </c>
      <c r="W40" s="4" t="e">
        <f>IF(A40&lt;('2. Inputs and results'!$B$23+1),W39+C40+Y40-$V$6,NA())</f>
        <v>#N/A</v>
      </c>
      <c r="X40" s="4" t="str">
        <f>IF(A40&lt;('2. Inputs and results'!$B$23+1),'2. Inputs and results'!$B$81*W39," ")</f>
        <v xml:space="preserve"> </v>
      </c>
      <c r="Y40" s="4">
        <f t="shared" si="2"/>
        <v>0</v>
      </c>
      <c r="Z40" s="4" t="e">
        <f>IF(A40&lt;('2. Inputs and results'!$B$23+1),Z39+(C40-$V$6+Y40)/((1+$P$2)^A40),NA())</f>
        <v>#N/A</v>
      </c>
      <c r="AA40" s="4" t="str">
        <f>IF(A40&lt;('2. Inputs and results'!$B$23+1),AA39+(G40+I40+H40+T40-$V$6)," ")</f>
        <v xml:space="preserve"> </v>
      </c>
      <c r="AB40" s="11" t="e">
        <f>IF(A40&lt;('2. Inputs and results'!$B$23+1),AA40/L40,NA())</f>
        <v>#N/A</v>
      </c>
      <c r="AC40" s="12" t="str">
        <f>IF(A40&lt;('2. Inputs and results'!$B$23+1),AC39+(C40+Y40-$V$6)," ")</f>
        <v xml:space="preserve"> </v>
      </c>
      <c r="AD40" s="11" t="e">
        <f>IF(A40&lt;('2. Inputs and results'!$B$23+1),AC40/L40,NA())</f>
        <v>#N/A</v>
      </c>
      <c r="AE40" t="str">
        <f>IF(A40&lt;('2. Inputs and results'!$B$23+1),-'2. Inputs and results'!$B$124*A40," ")</f>
        <v xml:space="preserve"> </v>
      </c>
      <c r="AF40" t="e">
        <f>IF(A40&lt;('2. Inputs and results'!$B$23+1),AE40/1000,NA())</f>
        <v>#N/A</v>
      </c>
    </row>
    <row r="41" spans="1:32">
      <c r="A41">
        <f t="shared" si="0"/>
        <v>36</v>
      </c>
      <c r="B41" t="str">
        <f>IF(A41&lt;('2. Inputs and results'!$B$23+1),A41," ")</f>
        <v xml:space="preserve"> </v>
      </c>
      <c r="C41" s="4" t="str">
        <f>IF(A41&lt;('2. Inputs and results'!$B$23+1),'2. Inputs and results'!$B$101+'2. Inputs and results'!$B$103," ")</f>
        <v xml:space="preserve"> </v>
      </c>
      <c r="D41" s="4" t="e">
        <f>IF(A41&lt;('2. Inputs and results'!$B$23+1),D40+C41,NA())</f>
        <v>#N/A</v>
      </c>
      <c r="E41" s="4" t="str">
        <f>IF(B41&lt;('2. Inputs and results'!$B$23+1),C41/((1+$P$2)^A41)," ")</f>
        <v xml:space="preserve"> </v>
      </c>
      <c r="F41" s="4" t="str">
        <f>IF(A41&lt;('2. Inputs and results'!$B$23+1),F40+E41," ")</f>
        <v xml:space="preserve"> </v>
      </c>
      <c r="G41" s="4" t="str">
        <f>IF(A41&lt;('2. Inputs and results'!$B$23+1),G40*(1+'2. Inputs and results'!$B$46)," ")</f>
        <v xml:space="preserve"> </v>
      </c>
      <c r="H41" s="4" t="str">
        <f>IF(A41&lt;('2. Inputs and results'!$B$23+1),H40*(1+'2. Inputs and results'!$B$58)," ")</f>
        <v xml:space="preserve"> </v>
      </c>
      <c r="I41" s="4" t="str">
        <f>IF(A41&lt;('2. Inputs and results'!$B$23+1),I40*(1+'2. Inputs and results'!$B$34)," ")</f>
        <v xml:space="preserve"> </v>
      </c>
      <c r="J41" s="4" t="str">
        <f>IF(A41&lt;('2. Inputs and results'!$B$23+1),J40*(1+'2. Inputs and results'!$B$68)," ")</f>
        <v xml:space="preserve"> </v>
      </c>
      <c r="K41" s="4" t="e">
        <f>IF('Solution 1, (hidden)'!A41&lt;('2. Inputs and results'!$B$23+1),K40+(G41+I41+H41+J41),NA())</f>
        <v>#N/A</v>
      </c>
      <c r="L41" s="4" t="e">
        <f>IF(A41&lt;('2. Inputs and results'!$B$23+1),L40,NA())</f>
        <v>#N/A</v>
      </c>
      <c r="M41" s="4" t="str">
        <f>IF(A41&lt;('2. Inputs and results'!$B$23+1),'2. Inputs and results'!$B$77*'2. Inputs and results'!$B$75," ")</f>
        <v xml:space="preserve"> </v>
      </c>
      <c r="N41" s="4" t="str">
        <f>IF(A41&lt;('2. Inputs and results'!$B$23+1),M41/((1+$P$2)^A41)," ")</f>
        <v xml:space="preserve"> </v>
      </c>
      <c r="O41" s="4" t="str">
        <f>IF(A41&lt;('2. Inputs and results'!$B$23+1),'2. Inputs and results'!$B$75*'2. Inputs and results'!$B$77+O40," ")</f>
        <v xml:space="preserve"> </v>
      </c>
      <c r="P41" s="4" t="str">
        <f>IF(A41&lt;('2. Inputs and results'!$B$23+1),(G41+I41+H41+J41)/((1+$P$2)^A41)," ")</f>
        <v xml:space="preserve"> </v>
      </c>
      <c r="Q41" s="4" t="str">
        <f>IF(A41&lt;('2. Inputs and results'!$B$23+1),Q40+P41," ")</f>
        <v xml:space="preserve"> </v>
      </c>
      <c r="R41" s="4" t="e">
        <f>IF(A41&lt;('2. Inputs and results'!$B$23+1),R40+G41+I41+J41+H41+T41-$V$6,NA())</f>
        <v>#N/A</v>
      </c>
      <c r="S41" s="4" t="str">
        <f>IF(A41&lt;('2. Inputs and results'!$B$23+1),'2. Inputs and results'!$B$81*(R40)," ")</f>
        <v xml:space="preserve"> </v>
      </c>
      <c r="T41" s="4">
        <f t="shared" si="1"/>
        <v>0</v>
      </c>
      <c r="U41" s="4" t="e">
        <f>IF(A41&lt;('2. Inputs and results'!$B$23+1),U40+(T41+I41+G41+H41+J41-$V$6)/((1+$P$2)^A41),NA())</f>
        <v>#N/A</v>
      </c>
      <c r="V41" s="4" t="str">
        <f>IF(A41&lt;('2. Inputs and results'!$B$23+1),V40+('2. Inputs and results'!$B$77*'2. Inputs and results'!$B$75)," ")</f>
        <v xml:space="preserve"> </v>
      </c>
      <c r="W41" s="4" t="e">
        <f>IF(A41&lt;('2. Inputs and results'!$B$23+1),W40+C41+Y41-$V$6,NA())</f>
        <v>#N/A</v>
      </c>
      <c r="X41" s="4" t="str">
        <f>IF(A41&lt;('2. Inputs and results'!$B$23+1),'2. Inputs and results'!$B$81*W40," ")</f>
        <v xml:space="preserve"> </v>
      </c>
      <c r="Y41" s="4">
        <f t="shared" si="2"/>
        <v>0</v>
      </c>
      <c r="Z41" s="4" t="e">
        <f>IF(A41&lt;('2. Inputs and results'!$B$23+1),Z40+(C41-$V$6+Y41)/((1+$P$2)^A41),NA())</f>
        <v>#N/A</v>
      </c>
      <c r="AA41" s="4" t="str">
        <f>IF(A41&lt;('2. Inputs and results'!$B$23+1),AA40+(G41+I41+H41+T41-$V$6)," ")</f>
        <v xml:space="preserve"> </v>
      </c>
      <c r="AB41" s="11" t="e">
        <f>IF(A41&lt;('2. Inputs and results'!$B$23+1),AA41/L41,NA())</f>
        <v>#N/A</v>
      </c>
      <c r="AC41" s="12" t="str">
        <f>IF(A41&lt;('2. Inputs and results'!$B$23+1),AC40+(C41+Y41-$V$6)," ")</f>
        <v xml:space="preserve"> </v>
      </c>
      <c r="AD41" s="11" t="e">
        <f>IF(A41&lt;('2. Inputs and results'!$B$23+1),AC41/L41,NA())</f>
        <v>#N/A</v>
      </c>
      <c r="AE41" t="str">
        <f>IF(A41&lt;('2. Inputs and results'!$B$23+1),-'2. Inputs and results'!$B$124*A41," ")</f>
        <v xml:space="preserve"> </v>
      </c>
      <c r="AF41" t="e">
        <f>IF(A41&lt;('2. Inputs and results'!$B$23+1),AE41/1000,NA())</f>
        <v>#N/A</v>
      </c>
    </row>
    <row r="42" spans="1:32">
      <c r="A42">
        <f t="shared" si="0"/>
        <v>37</v>
      </c>
      <c r="B42" t="str">
        <f>IF(A42&lt;('2. Inputs and results'!$B$23+1),A42," ")</f>
        <v xml:space="preserve"> </v>
      </c>
      <c r="C42" s="4" t="str">
        <f>IF(A42&lt;('2. Inputs and results'!$B$23+1),'2. Inputs and results'!$B$101+'2. Inputs and results'!$B$103," ")</f>
        <v xml:space="preserve"> </v>
      </c>
      <c r="D42" s="4" t="e">
        <f>IF(A42&lt;('2. Inputs and results'!$B$23+1),D41+C42,NA())</f>
        <v>#N/A</v>
      </c>
      <c r="E42" s="4" t="str">
        <f>IF(B42&lt;('2. Inputs and results'!$B$23+1),C42/((1+$P$2)^A42)," ")</f>
        <v xml:space="preserve"> </v>
      </c>
      <c r="F42" s="4" t="str">
        <f>IF(A42&lt;('2. Inputs and results'!$B$23+1),F41+E42," ")</f>
        <v xml:space="preserve"> </v>
      </c>
      <c r="G42" s="4" t="str">
        <f>IF(A42&lt;('2. Inputs and results'!$B$23+1),G41*(1+'2. Inputs and results'!$B$46)," ")</f>
        <v xml:space="preserve"> </v>
      </c>
      <c r="H42" s="4" t="str">
        <f>IF(A42&lt;('2. Inputs and results'!$B$23+1),H41*(1+'2. Inputs and results'!$B$58)," ")</f>
        <v xml:space="preserve"> </v>
      </c>
      <c r="I42" s="4" t="str">
        <f>IF(A42&lt;('2. Inputs and results'!$B$23+1),I41*(1+'2. Inputs and results'!$B$34)," ")</f>
        <v xml:space="preserve"> </v>
      </c>
      <c r="J42" s="4" t="str">
        <f>IF(A42&lt;('2. Inputs and results'!$B$23+1),J41*(1+'2. Inputs and results'!$B$68)," ")</f>
        <v xml:space="preserve"> </v>
      </c>
      <c r="K42" s="4" t="e">
        <f>IF('Solution 1, (hidden)'!A42&lt;('2. Inputs and results'!$B$23+1),K41+(G42+I42+H42+J42),NA())</f>
        <v>#N/A</v>
      </c>
      <c r="L42" s="4" t="e">
        <f>IF(A42&lt;('2. Inputs and results'!$B$23+1),L41,NA())</f>
        <v>#N/A</v>
      </c>
      <c r="M42" s="4" t="str">
        <f>IF(A42&lt;('2. Inputs and results'!$B$23+1),'2. Inputs and results'!$B$77*'2. Inputs and results'!$B$75," ")</f>
        <v xml:space="preserve"> </v>
      </c>
      <c r="N42" s="4" t="str">
        <f>IF(A42&lt;('2. Inputs and results'!$B$23+1),M42/((1+$P$2)^A42)," ")</f>
        <v xml:space="preserve"> </v>
      </c>
      <c r="O42" s="4" t="str">
        <f>IF(A42&lt;('2. Inputs and results'!$B$23+1),'2. Inputs and results'!$B$75*'2. Inputs and results'!$B$77+O41," ")</f>
        <v xml:space="preserve"> </v>
      </c>
      <c r="P42" s="4" t="str">
        <f>IF(A42&lt;('2. Inputs and results'!$B$23+1),(G42+I42+H42+J42)/((1+$P$2)^A42)," ")</f>
        <v xml:space="preserve"> </v>
      </c>
      <c r="Q42" s="4" t="str">
        <f>IF(A42&lt;('2. Inputs and results'!$B$23+1),Q41+P42," ")</f>
        <v xml:space="preserve"> </v>
      </c>
      <c r="R42" s="4" t="e">
        <f>IF(A42&lt;('2. Inputs and results'!$B$23+1),R41+G42+I42+J42+H42+T42-$V$6,NA())</f>
        <v>#N/A</v>
      </c>
      <c r="S42" s="4" t="str">
        <f>IF(A42&lt;('2. Inputs and results'!$B$23+1),'2. Inputs and results'!$B$81*(R41)," ")</f>
        <v xml:space="preserve"> </v>
      </c>
      <c r="T42" s="4">
        <f t="shared" si="1"/>
        <v>0</v>
      </c>
      <c r="U42" s="4" t="e">
        <f>IF(A42&lt;('2. Inputs and results'!$B$23+1),U41+(T42+I42+G42+H42+J42-$V$6)/((1+$P$2)^A42),NA())</f>
        <v>#N/A</v>
      </c>
      <c r="V42" s="4" t="str">
        <f>IF(A42&lt;('2. Inputs and results'!$B$23+1),V41+('2. Inputs and results'!$B$77*'2. Inputs and results'!$B$75)," ")</f>
        <v xml:space="preserve"> </v>
      </c>
      <c r="W42" s="4" t="e">
        <f>IF(A42&lt;('2. Inputs and results'!$B$23+1),W41+C42+Y42-$V$6,NA())</f>
        <v>#N/A</v>
      </c>
      <c r="X42" s="4" t="str">
        <f>IF(A42&lt;('2. Inputs and results'!$B$23+1),'2. Inputs and results'!$B$81*W41," ")</f>
        <v xml:space="preserve"> </v>
      </c>
      <c r="Y42" s="4">
        <f t="shared" si="2"/>
        <v>0</v>
      </c>
      <c r="Z42" s="4" t="e">
        <f>IF(A42&lt;('2. Inputs and results'!$B$23+1),Z41+(C42-$V$6+Y42)/((1+$P$2)^A42),NA())</f>
        <v>#N/A</v>
      </c>
      <c r="AA42" s="4" t="str">
        <f>IF(A42&lt;('2. Inputs and results'!$B$23+1),AA41+(G42+I42+H42+T42-$V$6)," ")</f>
        <v xml:space="preserve"> </v>
      </c>
      <c r="AB42" s="11" t="e">
        <f>IF(A42&lt;('2. Inputs and results'!$B$23+1),AA42/L42,NA())</f>
        <v>#N/A</v>
      </c>
      <c r="AC42" s="12" t="str">
        <f>IF(A42&lt;('2. Inputs and results'!$B$23+1),AC41+(C42+Y42-$V$6)," ")</f>
        <v xml:space="preserve"> </v>
      </c>
      <c r="AD42" s="11" t="e">
        <f>IF(A42&lt;('2. Inputs and results'!$B$23+1),AC42/L42,NA())</f>
        <v>#N/A</v>
      </c>
      <c r="AE42" t="str">
        <f>IF(A42&lt;('2. Inputs and results'!$B$23+1),-'2. Inputs and results'!$B$124*A42," ")</f>
        <v xml:space="preserve"> </v>
      </c>
      <c r="AF42" t="e">
        <f>IF(A42&lt;('2. Inputs and results'!$B$23+1),AE42/1000,NA())</f>
        <v>#N/A</v>
      </c>
    </row>
    <row r="43" spans="1:32">
      <c r="A43">
        <f t="shared" si="0"/>
        <v>38</v>
      </c>
      <c r="B43" t="str">
        <f>IF(A43&lt;('2. Inputs and results'!$B$23+1),A43," ")</f>
        <v xml:space="preserve"> </v>
      </c>
      <c r="C43" s="4" t="str">
        <f>IF(A43&lt;('2. Inputs and results'!$B$23+1),'2. Inputs and results'!$B$101+'2. Inputs and results'!$B$103," ")</f>
        <v xml:space="preserve"> </v>
      </c>
      <c r="D43" s="4" t="e">
        <f>IF(A43&lt;('2. Inputs and results'!$B$23+1),D42+C43,NA())</f>
        <v>#N/A</v>
      </c>
      <c r="E43" s="4" t="str">
        <f>IF(B43&lt;('2. Inputs and results'!$B$23+1),C43/((1+$P$2)^A43)," ")</f>
        <v xml:space="preserve"> </v>
      </c>
      <c r="F43" s="4" t="str">
        <f>IF(A43&lt;('2. Inputs and results'!$B$23+1),F42+E43," ")</f>
        <v xml:space="preserve"> </v>
      </c>
      <c r="G43" s="4" t="str">
        <f>IF(A43&lt;('2. Inputs and results'!$B$23+1),G42*(1+'2. Inputs and results'!$B$46)," ")</f>
        <v xml:space="preserve"> </v>
      </c>
      <c r="H43" s="4" t="str">
        <f>IF(A43&lt;('2. Inputs and results'!$B$23+1),H42*(1+'2. Inputs and results'!$B$58)," ")</f>
        <v xml:space="preserve"> </v>
      </c>
      <c r="I43" s="4" t="str">
        <f>IF(A43&lt;('2. Inputs and results'!$B$23+1),I42*(1+'2. Inputs and results'!$B$34)," ")</f>
        <v xml:space="preserve"> </v>
      </c>
      <c r="J43" s="4" t="str">
        <f>IF(A43&lt;('2. Inputs and results'!$B$23+1),J42*(1+'2. Inputs and results'!$B$68)," ")</f>
        <v xml:space="preserve"> </v>
      </c>
      <c r="K43" s="4" t="e">
        <f>IF('Solution 1, (hidden)'!A43&lt;('2. Inputs and results'!$B$23+1),K42+(G43+I43+H43+J43),NA())</f>
        <v>#N/A</v>
      </c>
      <c r="L43" s="4" t="e">
        <f>IF(A43&lt;('2. Inputs and results'!$B$23+1),L42,NA())</f>
        <v>#N/A</v>
      </c>
      <c r="M43" s="4" t="str">
        <f>IF(A43&lt;('2. Inputs and results'!$B$23+1),'2. Inputs and results'!$B$77*'2. Inputs and results'!$B$75," ")</f>
        <v xml:space="preserve"> </v>
      </c>
      <c r="N43" s="4" t="str">
        <f>IF(A43&lt;('2. Inputs and results'!$B$23+1),M43/((1+$P$2)^A43)," ")</f>
        <v xml:space="preserve"> </v>
      </c>
      <c r="O43" s="4" t="str">
        <f>IF(A43&lt;('2. Inputs and results'!$B$23+1),'2. Inputs and results'!$B$75*'2. Inputs and results'!$B$77+O42," ")</f>
        <v xml:space="preserve"> </v>
      </c>
      <c r="P43" s="4" t="str">
        <f>IF(A43&lt;('2. Inputs and results'!$B$23+1),(G43+I43+H43+J43)/((1+$P$2)^A43)," ")</f>
        <v xml:space="preserve"> </v>
      </c>
      <c r="Q43" s="4" t="str">
        <f>IF(A43&lt;('2. Inputs and results'!$B$23+1),Q42+P43," ")</f>
        <v xml:space="preserve"> </v>
      </c>
      <c r="R43" s="4" t="e">
        <f>IF(A43&lt;('2. Inputs and results'!$B$23+1),R42+G43+I43+J43+H43+T43-$V$6,NA())</f>
        <v>#N/A</v>
      </c>
      <c r="S43" s="4" t="str">
        <f>IF(A43&lt;('2. Inputs and results'!$B$23+1),'2. Inputs and results'!$B$81*(R42)," ")</f>
        <v xml:space="preserve"> </v>
      </c>
      <c r="T43" s="4">
        <f t="shared" si="1"/>
        <v>0</v>
      </c>
      <c r="U43" s="4" t="e">
        <f>IF(A43&lt;('2. Inputs and results'!$B$23+1),U42+(T43+I43+G43+H43+J43-$V$6)/((1+$P$2)^A43),NA())</f>
        <v>#N/A</v>
      </c>
      <c r="V43" s="4" t="str">
        <f>IF(A43&lt;('2. Inputs and results'!$B$23+1),V42+('2. Inputs and results'!$B$77*'2. Inputs and results'!$B$75)," ")</f>
        <v xml:space="preserve"> </v>
      </c>
      <c r="W43" s="4" t="e">
        <f>IF(A43&lt;('2. Inputs and results'!$B$23+1),W42+C43+Y43-$V$6,NA())</f>
        <v>#N/A</v>
      </c>
      <c r="X43" s="4" t="str">
        <f>IF(A43&lt;('2. Inputs and results'!$B$23+1),'2. Inputs and results'!$B$81*W42," ")</f>
        <v xml:space="preserve"> </v>
      </c>
      <c r="Y43" s="4">
        <f t="shared" si="2"/>
        <v>0</v>
      </c>
      <c r="Z43" s="4" t="e">
        <f>IF(A43&lt;('2. Inputs and results'!$B$23+1),Z42+(C43-$V$6+Y43)/((1+$P$2)^A43),NA())</f>
        <v>#N/A</v>
      </c>
      <c r="AA43" s="4" t="str">
        <f>IF(A43&lt;('2. Inputs and results'!$B$23+1),AA42+(G43+I43+H43+T43-$V$6)," ")</f>
        <v xml:space="preserve"> </v>
      </c>
      <c r="AB43" s="11" t="e">
        <f>IF(A43&lt;('2. Inputs and results'!$B$23+1),AA43/L43,NA())</f>
        <v>#N/A</v>
      </c>
      <c r="AC43" s="12" t="str">
        <f>IF(A43&lt;('2. Inputs and results'!$B$23+1),AC42+(C43+Y43-$V$6)," ")</f>
        <v xml:space="preserve"> </v>
      </c>
      <c r="AD43" s="11" t="e">
        <f>IF(A43&lt;('2. Inputs and results'!$B$23+1),AC43/L43,NA())</f>
        <v>#N/A</v>
      </c>
      <c r="AE43" t="str">
        <f>IF(A43&lt;('2. Inputs and results'!$B$23+1),-'2. Inputs and results'!$B$124*A43," ")</f>
        <v xml:space="preserve"> </v>
      </c>
      <c r="AF43" t="e">
        <f>IF(A43&lt;('2. Inputs and results'!$B$23+1),AE43/1000,NA())</f>
        <v>#N/A</v>
      </c>
    </row>
    <row r="44" spans="1:32">
      <c r="A44">
        <f t="shared" si="0"/>
        <v>39</v>
      </c>
      <c r="B44" t="str">
        <f>IF(A44&lt;('2. Inputs and results'!$B$23+1),A44," ")</f>
        <v xml:space="preserve"> </v>
      </c>
      <c r="C44" s="4" t="str">
        <f>IF(A44&lt;('2. Inputs and results'!$B$23+1),'2. Inputs and results'!$B$101+'2. Inputs and results'!$B$103," ")</f>
        <v xml:space="preserve"> </v>
      </c>
      <c r="D44" s="4" t="e">
        <f>IF(A44&lt;('2. Inputs and results'!$B$23+1),D43+C44,NA())</f>
        <v>#N/A</v>
      </c>
      <c r="E44" s="4" t="str">
        <f>IF(B44&lt;('2. Inputs and results'!$B$23+1),C44/((1+$P$2)^A44)," ")</f>
        <v xml:space="preserve"> </v>
      </c>
      <c r="F44" s="4" t="str">
        <f>IF(A44&lt;('2. Inputs and results'!$B$23+1),F43+E44," ")</f>
        <v xml:space="preserve"> </v>
      </c>
      <c r="G44" s="4" t="str">
        <f>IF(A44&lt;('2. Inputs and results'!$B$23+1),G43*(1+'2. Inputs and results'!$B$46)," ")</f>
        <v xml:space="preserve"> </v>
      </c>
      <c r="H44" s="4" t="str">
        <f>IF(A44&lt;('2. Inputs and results'!$B$23+1),H43*(1+'2. Inputs and results'!$B$58)," ")</f>
        <v xml:space="preserve"> </v>
      </c>
      <c r="I44" s="4" t="str">
        <f>IF(A44&lt;('2. Inputs and results'!$B$23+1),I43*(1+'2. Inputs and results'!$B$34)," ")</f>
        <v xml:space="preserve"> </v>
      </c>
      <c r="J44" s="4" t="str">
        <f>IF(A44&lt;('2. Inputs and results'!$B$23+1),J43*(1+'2. Inputs and results'!$B$68)," ")</f>
        <v xml:space="preserve"> </v>
      </c>
      <c r="K44" s="4" t="e">
        <f>IF('Solution 1, (hidden)'!A44&lt;('2. Inputs and results'!$B$23+1),K43+(G44+I44+H44+J44),NA())</f>
        <v>#N/A</v>
      </c>
      <c r="L44" s="4" t="e">
        <f>IF(A44&lt;('2. Inputs and results'!$B$23+1),L43,NA())</f>
        <v>#N/A</v>
      </c>
      <c r="M44" s="4" t="str">
        <f>IF(A44&lt;('2. Inputs and results'!$B$23+1),'2. Inputs and results'!$B$77*'2. Inputs and results'!$B$75," ")</f>
        <v xml:space="preserve"> </v>
      </c>
      <c r="N44" s="4" t="str">
        <f>IF(A44&lt;('2. Inputs and results'!$B$23+1),M44/((1+$P$2)^A44)," ")</f>
        <v xml:space="preserve"> </v>
      </c>
      <c r="O44" s="4" t="str">
        <f>IF(A44&lt;('2. Inputs and results'!$B$23+1),'2. Inputs and results'!$B$75*'2. Inputs and results'!$B$77+O43," ")</f>
        <v xml:space="preserve"> </v>
      </c>
      <c r="P44" s="4" t="str">
        <f>IF(A44&lt;('2. Inputs and results'!$B$23+1),(G44+I44+H44+J44)/((1+$P$2)^A44)," ")</f>
        <v xml:space="preserve"> </v>
      </c>
      <c r="Q44" s="4" t="str">
        <f>IF(A44&lt;('2. Inputs and results'!$B$23+1),Q43+P44," ")</f>
        <v xml:space="preserve"> </v>
      </c>
      <c r="R44" s="4" t="e">
        <f>IF(A44&lt;('2. Inputs and results'!$B$23+1),R43+G44+I44+J44+H44+T44-$V$6,NA())</f>
        <v>#N/A</v>
      </c>
      <c r="S44" s="4" t="str">
        <f>IF(A44&lt;('2. Inputs and results'!$B$23+1),'2. Inputs and results'!$B$81*(R43)," ")</f>
        <v xml:space="preserve"> </v>
      </c>
      <c r="T44" s="4">
        <f t="shared" si="1"/>
        <v>0</v>
      </c>
      <c r="U44" s="4" t="e">
        <f>IF(A44&lt;('2. Inputs and results'!$B$23+1),U43+(T44+I44+G44+H44+J44-$V$6)/((1+$P$2)^A44),NA())</f>
        <v>#N/A</v>
      </c>
      <c r="V44" s="4" t="str">
        <f>IF(A44&lt;('2. Inputs and results'!$B$23+1),V43+('2. Inputs and results'!$B$77*'2. Inputs and results'!$B$75)," ")</f>
        <v xml:space="preserve"> </v>
      </c>
      <c r="W44" s="4" t="e">
        <f>IF(A44&lt;('2. Inputs and results'!$B$23+1),W43+C44+Y44-$V$6,NA())</f>
        <v>#N/A</v>
      </c>
      <c r="X44" s="4" t="str">
        <f>IF(A44&lt;('2. Inputs and results'!$B$23+1),'2. Inputs and results'!$B$81*W43," ")</f>
        <v xml:space="preserve"> </v>
      </c>
      <c r="Y44" s="4">
        <f t="shared" si="2"/>
        <v>0</v>
      </c>
      <c r="Z44" s="4" t="e">
        <f>IF(A44&lt;('2. Inputs and results'!$B$23+1),Z43+(C44-$V$6+Y44)/((1+$P$2)^A44),NA())</f>
        <v>#N/A</v>
      </c>
      <c r="AA44" s="4" t="str">
        <f>IF(A44&lt;('2. Inputs and results'!$B$23+1),AA43+(G44+I44+H44+T44-$V$6)," ")</f>
        <v xml:space="preserve"> </v>
      </c>
      <c r="AB44" s="11" t="e">
        <f>IF(A44&lt;('2. Inputs and results'!$B$23+1),AA44/L44,NA())</f>
        <v>#N/A</v>
      </c>
      <c r="AC44" s="12" t="str">
        <f>IF(A44&lt;('2. Inputs and results'!$B$23+1),AC43+(C44+Y44-$V$6)," ")</f>
        <v xml:space="preserve"> </v>
      </c>
      <c r="AD44" s="11" t="e">
        <f>IF(A44&lt;('2. Inputs and results'!$B$23+1),AC44/L44,NA())</f>
        <v>#N/A</v>
      </c>
      <c r="AE44" t="str">
        <f>IF(A44&lt;('2. Inputs and results'!$B$23+1),-'2. Inputs and results'!$B$124*A44," ")</f>
        <v xml:space="preserve"> </v>
      </c>
      <c r="AF44" t="e">
        <f>IF(A44&lt;('2. Inputs and results'!$B$23+1),AE44/1000,NA())</f>
        <v>#N/A</v>
      </c>
    </row>
    <row r="45" spans="1:32">
      <c r="A45">
        <f t="shared" si="0"/>
        <v>40</v>
      </c>
      <c r="B45" t="str">
        <f>IF(A45&lt;('2. Inputs and results'!$B$23+1),A45," ")</f>
        <v xml:space="preserve"> </v>
      </c>
      <c r="C45" s="4" t="str">
        <f>IF(A45&lt;('2. Inputs and results'!$B$23+1),'2. Inputs and results'!$B$101+'2. Inputs and results'!$B$103," ")</f>
        <v xml:space="preserve"> </v>
      </c>
      <c r="D45" s="4" t="e">
        <f>IF(A45&lt;('2. Inputs and results'!$B$23+1),D44+C45,NA())</f>
        <v>#N/A</v>
      </c>
      <c r="E45" s="4" t="str">
        <f>IF(B45&lt;('2. Inputs and results'!$B$23+1),C45/((1+$P$2)^A45)," ")</f>
        <v xml:space="preserve"> </v>
      </c>
      <c r="F45" s="4" t="str">
        <f>IF(A45&lt;('2. Inputs and results'!$B$23+1),F44+E45," ")</f>
        <v xml:space="preserve"> </v>
      </c>
      <c r="G45" s="4" t="str">
        <f>IF(A45&lt;('2. Inputs and results'!$B$23+1),G44*(1+'2. Inputs and results'!$B$46)," ")</f>
        <v xml:space="preserve"> </v>
      </c>
      <c r="H45" s="4" t="str">
        <f>IF(A45&lt;('2. Inputs and results'!$B$23+1),H44*(1+'2. Inputs and results'!$B$58)," ")</f>
        <v xml:space="preserve"> </v>
      </c>
      <c r="I45" s="4" t="str">
        <f>IF(A45&lt;('2. Inputs and results'!$B$23+1),I44*(1+'2. Inputs and results'!$B$34)," ")</f>
        <v xml:space="preserve"> </v>
      </c>
      <c r="J45" s="4" t="str">
        <f>IF(A45&lt;('2. Inputs and results'!$B$23+1),J44*(1+'2. Inputs and results'!$B$68)," ")</f>
        <v xml:space="preserve"> </v>
      </c>
      <c r="K45" s="4" t="e">
        <f>IF('Solution 1, (hidden)'!A45&lt;('2. Inputs and results'!$B$23+1),K44+(G45+I45+H45+J45),NA())</f>
        <v>#N/A</v>
      </c>
      <c r="L45" s="4" t="e">
        <f>IF(A45&lt;('2. Inputs and results'!$B$23+1),L44,NA())</f>
        <v>#N/A</v>
      </c>
      <c r="M45" s="4" t="str">
        <f>IF(A45&lt;('2. Inputs and results'!$B$23+1),'2. Inputs and results'!$B$77*'2. Inputs and results'!$B$75," ")</f>
        <v xml:space="preserve"> </v>
      </c>
      <c r="N45" s="4" t="str">
        <f>IF(A45&lt;('2. Inputs and results'!$B$23+1),M45/((1+$P$2)^A45)," ")</f>
        <v xml:space="preserve"> </v>
      </c>
      <c r="O45" s="4" t="str">
        <f>IF(A45&lt;('2. Inputs and results'!$B$23+1),'2. Inputs and results'!$B$75*'2. Inputs and results'!$B$77+O44," ")</f>
        <v xml:space="preserve"> </v>
      </c>
      <c r="P45" s="4" t="str">
        <f>IF(A45&lt;('2. Inputs and results'!$B$23+1),(G45+I45+H45+J45)/((1+$P$2)^A45)," ")</f>
        <v xml:space="preserve"> </v>
      </c>
      <c r="Q45" s="4" t="str">
        <f>IF(A45&lt;('2. Inputs and results'!$B$23+1),Q44+P45," ")</f>
        <v xml:space="preserve"> </v>
      </c>
      <c r="R45" s="4" t="e">
        <f>IF(A45&lt;('2. Inputs and results'!$B$23+1),R44+G45+I45+J45+H45+T45-$V$6,NA())</f>
        <v>#N/A</v>
      </c>
      <c r="S45" s="4" t="str">
        <f>IF(A45&lt;('2. Inputs and results'!$B$23+1),'2. Inputs and results'!$B$81*(R44)," ")</f>
        <v xml:space="preserve"> </v>
      </c>
      <c r="T45" s="4">
        <f t="shared" si="1"/>
        <v>0</v>
      </c>
      <c r="U45" s="4" t="e">
        <f>IF(A45&lt;('2. Inputs and results'!$B$23+1),U44+(T45+I45+G45+H45+J45-$V$6)/((1+$P$2)^A45),NA())</f>
        <v>#N/A</v>
      </c>
      <c r="V45" s="4" t="str">
        <f>IF(A45&lt;('2. Inputs and results'!$B$23+1),V44+('2. Inputs and results'!$B$77*'2. Inputs and results'!$B$75)," ")</f>
        <v xml:space="preserve"> </v>
      </c>
      <c r="W45" s="4" t="e">
        <f>IF(A45&lt;('2. Inputs and results'!$B$23+1),W44+C45+Y45-$V$6,NA())</f>
        <v>#N/A</v>
      </c>
      <c r="X45" s="4" t="str">
        <f>IF(A45&lt;('2. Inputs and results'!$B$23+1),'2. Inputs and results'!$B$81*W44," ")</f>
        <v xml:space="preserve"> </v>
      </c>
      <c r="Y45" s="4">
        <f t="shared" si="2"/>
        <v>0</v>
      </c>
      <c r="Z45" s="4" t="e">
        <f>IF(A45&lt;('2. Inputs and results'!$B$23+1),Z44+(C45-$V$6+Y45)/((1+$P$2)^A45),NA())</f>
        <v>#N/A</v>
      </c>
      <c r="AA45" s="4" t="str">
        <f>IF(A45&lt;('2. Inputs and results'!$B$23+1),AA44+(G45+I45+H45+T45-$V$6)," ")</f>
        <v xml:space="preserve"> </v>
      </c>
      <c r="AB45" s="11" t="e">
        <f>IF(A45&lt;('2. Inputs and results'!$B$23+1),AA45/L45,NA())</f>
        <v>#N/A</v>
      </c>
      <c r="AC45" s="12" t="str">
        <f>IF(A45&lt;('2. Inputs and results'!$B$23+1),AC44+(C45+Y45-$V$6)," ")</f>
        <v xml:space="preserve"> </v>
      </c>
      <c r="AD45" s="11" t="e">
        <f>IF(A45&lt;('2. Inputs and results'!$B$23+1),AC45/L45,NA())</f>
        <v>#N/A</v>
      </c>
      <c r="AE45" t="str">
        <f>IF(A45&lt;('2. Inputs and results'!$B$23+1),-'2. Inputs and results'!$B$124*A45," ")</f>
        <v xml:space="preserve"> </v>
      </c>
      <c r="AF45" t="e">
        <f>IF(A45&lt;('2. Inputs and results'!$B$23+1),AE45/1000,NA())</f>
        <v>#N/A</v>
      </c>
    </row>
    <row r="46" spans="1:32">
      <c r="A46">
        <f t="shared" si="0"/>
        <v>41</v>
      </c>
      <c r="B46" t="str">
        <f>IF(A46&lt;('2. Inputs and results'!$B$23+1),A46," ")</f>
        <v xml:space="preserve"> </v>
      </c>
      <c r="C46" s="4" t="str">
        <f>IF(A46&lt;('2. Inputs and results'!$B$23+1),'2. Inputs and results'!$B$101+'2. Inputs and results'!$B$103," ")</f>
        <v xml:space="preserve"> </v>
      </c>
      <c r="D46" s="4" t="e">
        <f>IF(A46&lt;('2. Inputs and results'!$B$23+1),D45+C46,NA())</f>
        <v>#N/A</v>
      </c>
      <c r="E46" s="4" t="str">
        <f>IF(B46&lt;('2. Inputs and results'!$B$23+1),C46/((1+$P$2)^A46)," ")</f>
        <v xml:space="preserve"> </v>
      </c>
      <c r="F46" s="4" t="str">
        <f>IF(A46&lt;('2. Inputs and results'!$B$23+1),F45+E46," ")</f>
        <v xml:space="preserve"> </v>
      </c>
      <c r="G46" s="4" t="str">
        <f>IF(A46&lt;('2. Inputs and results'!$B$23+1),G45*(1+'2. Inputs and results'!$B$46)," ")</f>
        <v xml:space="preserve"> </v>
      </c>
      <c r="H46" s="4" t="str">
        <f>IF(A46&lt;('2. Inputs and results'!$B$23+1),H45*(1+'2. Inputs and results'!$B$58)," ")</f>
        <v xml:space="preserve"> </v>
      </c>
      <c r="I46" s="4" t="str">
        <f>IF(A46&lt;('2. Inputs and results'!$B$23+1),I45*(1+'2. Inputs and results'!$B$34)," ")</f>
        <v xml:space="preserve"> </v>
      </c>
      <c r="J46" s="4" t="str">
        <f>IF(A46&lt;('2. Inputs and results'!$B$23+1),J45*(1+'2. Inputs and results'!$B$68)," ")</f>
        <v xml:space="preserve"> </v>
      </c>
      <c r="K46" s="4" t="e">
        <f>IF('Solution 1, (hidden)'!A46&lt;('2. Inputs and results'!$B$23+1),K45+(G46+I46+H46+J46),NA())</f>
        <v>#N/A</v>
      </c>
      <c r="L46" s="4" t="e">
        <f>IF(A46&lt;('2. Inputs and results'!$B$23+1),L45,NA())</f>
        <v>#N/A</v>
      </c>
      <c r="M46" s="4" t="str">
        <f>IF(A46&lt;('2. Inputs and results'!$B$23+1),'2. Inputs and results'!$B$77*'2. Inputs and results'!$B$75," ")</f>
        <v xml:space="preserve"> </v>
      </c>
      <c r="N46" s="4" t="str">
        <f>IF(A46&lt;('2. Inputs and results'!$B$23+1),M46/((1+$P$2)^A46)," ")</f>
        <v xml:space="preserve"> </v>
      </c>
      <c r="O46" s="4" t="str">
        <f>IF(A46&lt;('2. Inputs and results'!$B$23+1),'2. Inputs and results'!$B$75*'2. Inputs and results'!$B$77+O45," ")</f>
        <v xml:space="preserve"> </v>
      </c>
      <c r="P46" s="4" t="str">
        <f>IF(A46&lt;('2. Inputs and results'!$B$23+1),(G46+I46+H46+J46)/((1+$P$2)^A46)," ")</f>
        <v xml:space="preserve"> </v>
      </c>
      <c r="Q46" s="4" t="str">
        <f>IF(A46&lt;('2. Inputs and results'!$B$23+1),Q45+P46," ")</f>
        <v xml:space="preserve"> </v>
      </c>
      <c r="R46" s="4" t="e">
        <f>IF(A46&lt;('2. Inputs and results'!$B$23+1),R45+G46+I46+J46+H46+T46-$V$6,NA())</f>
        <v>#N/A</v>
      </c>
      <c r="S46" s="4" t="str">
        <f>IF(A46&lt;('2. Inputs and results'!$B$23+1),'2. Inputs and results'!$B$81*(R45)," ")</f>
        <v xml:space="preserve"> </v>
      </c>
      <c r="T46" s="4">
        <f t="shared" si="1"/>
        <v>0</v>
      </c>
      <c r="U46" s="4" t="e">
        <f>IF(A46&lt;('2. Inputs and results'!$B$23+1),U45+(T46+I46+G46+H46+J46-$V$6)/((1+$P$2)^A46),NA())</f>
        <v>#N/A</v>
      </c>
      <c r="V46" s="4" t="str">
        <f>IF(A46&lt;('2. Inputs and results'!$B$23+1),V45+('2. Inputs and results'!$B$77*'2. Inputs and results'!$B$75)," ")</f>
        <v xml:space="preserve"> </v>
      </c>
      <c r="W46" s="4" t="e">
        <f>IF(A46&lt;('2. Inputs and results'!$B$23+1),W45+C46+Y46-$V$6,NA())</f>
        <v>#N/A</v>
      </c>
      <c r="X46" s="4" t="str">
        <f>IF(A46&lt;('2. Inputs and results'!$B$23+1),'2. Inputs and results'!$B$81*W45," ")</f>
        <v xml:space="preserve"> </v>
      </c>
      <c r="Y46" s="4">
        <f t="shared" si="2"/>
        <v>0</v>
      </c>
      <c r="Z46" s="4" t="e">
        <f>IF(A46&lt;('2. Inputs and results'!$B$23+1),Z45+(C46-$V$6+Y46)/((1+$P$2)^A46),NA())</f>
        <v>#N/A</v>
      </c>
      <c r="AA46" s="4" t="str">
        <f>IF(A46&lt;('2. Inputs and results'!$B$23+1),AA45+(G46+I46+H46+T46-$V$6)," ")</f>
        <v xml:space="preserve"> </v>
      </c>
      <c r="AB46" s="11" t="e">
        <f>IF(A46&lt;('2. Inputs and results'!$B$23+1),AA46/L46,NA())</f>
        <v>#N/A</v>
      </c>
      <c r="AC46" s="12" t="str">
        <f>IF(A46&lt;('2. Inputs and results'!$B$23+1),AC45+(C46+Y46-$V$6)," ")</f>
        <v xml:space="preserve"> </v>
      </c>
      <c r="AD46" s="11" t="e">
        <f>IF(A46&lt;('2. Inputs and results'!$B$23+1),AC46/L46,NA())</f>
        <v>#N/A</v>
      </c>
      <c r="AE46" t="str">
        <f>IF(A46&lt;('2. Inputs and results'!$B$23+1),-'2. Inputs and results'!$B$124*A46," ")</f>
        <v xml:space="preserve"> </v>
      </c>
      <c r="AF46" t="e">
        <f>IF(A46&lt;('2. Inputs and results'!$B$23+1),AE46/1000,NA())</f>
        <v>#N/A</v>
      </c>
    </row>
    <row r="47" spans="1:32">
      <c r="A47">
        <f t="shared" si="0"/>
        <v>42</v>
      </c>
      <c r="B47" t="str">
        <f>IF(A47&lt;('2. Inputs and results'!$B$23+1),A47," ")</f>
        <v xml:space="preserve"> </v>
      </c>
      <c r="C47" s="4" t="str">
        <f>IF(A47&lt;('2. Inputs and results'!$B$23+1),'2. Inputs and results'!$B$101+'2. Inputs and results'!$B$103," ")</f>
        <v xml:space="preserve"> </v>
      </c>
      <c r="D47" s="4" t="e">
        <f>IF(A47&lt;('2. Inputs and results'!$B$23+1),D46+C47,NA())</f>
        <v>#N/A</v>
      </c>
      <c r="E47" s="4" t="str">
        <f>IF(B47&lt;('2. Inputs and results'!$B$23+1),C47/((1+$P$2)^A47)," ")</f>
        <v xml:space="preserve"> </v>
      </c>
      <c r="F47" s="4" t="str">
        <f>IF(A47&lt;('2. Inputs and results'!$B$23+1),F46+E47," ")</f>
        <v xml:space="preserve"> </v>
      </c>
      <c r="G47" s="4" t="str">
        <f>IF(A47&lt;('2. Inputs and results'!$B$23+1),G46*(1+'2. Inputs and results'!$B$46)," ")</f>
        <v xml:space="preserve"> </v>
      </c>
      <c r="H47" s="4" t="str">
        <f>IF(A47&lt;('2. Inputs and results'!$B$23+1),H46*(1+'2. Inputs and results'!$B$58)," ")</f>
        <v xml:space="preserve"> </v>
      </c>
      <c r="I47" s="4" t="str">
        <f>IF(A47&lt;('2. Inputs and results'!$B$23+1),I46*(1+'2. Inputs and results'!$B$34)," ")</f>
        <v xml:space="preserve"> </v>
      </c>
      <c r="J47" s="4" t="str">
        <f>IF(A47&lt;('2. Inputs and results'!$B$23+1),J46*(1+'2. Inputs and results'!$B$68)," ")</f>
        <v xml:space="preserve"> </v>
      </c>
      <c r="K47" s="4" t="e">
        <f>IF('Solution 1, (hidden)'!A47&lt;('2. Inputs and results'!$B$23+1),K46+(G47+I47+H47+J47),NA())</f>
        <v>#N/A</v>
      </c>
      <c r="L47" s="4" t="e">
        <f>IF(A47&lt;('2. Inputs and results'!$B$23+1),L46,NA())</f>
        <v>#N/A</v>
      </c>
      <c r="M47" s="4" t="str">
        <f>IF(A47&lt;('2. Inputs and results'!$B$23+1),'2. Inputs and results'!$B$77*'2. Inputs and results'!$B$75," ")</f>
        <v xml:space="preserve"> </v>
      </c>
      <c r="N47" s="4" t="str">
        <f>IF(A47&lt;('2. Inputs and results'!$B$23+1),M47/((1+$P$2)^A47)," ")</f>
        <v xml:space="preserve"> </v>
      </c>
      <c r="O47" s="4" t="str">
        <f>IF(A47&lt;('2. Inputs and results'!$B$23+1),'2. Inputs and results'!$B$75*'2. Inputs and results'!$B$77+O46," ")</f>
        <v xml:space="preserve"> </v>
      </c>
      <c r="P47" s="4" t="str">
        <f>IF(A47&lt;('2. Inputs and results'!$B$23+1),(G47+I47+H47+J47)/((1+$P$2)^A47)," ")</f>
        <v xml:space="preserve"> </v>
      </c>
      <c r="Q47" s="4" t="str">
        <f>IF(A47&lt;('2. Inputs and results'!$B$23+1),Q46+P47," ")</f>
        <v xml:space="preserve"> </v>
      </c>
      <c r="R47" s="4" t="e">
        <f>IF(A47&lt;('2. Inputs and results'!$B$23+1),R46+G47+I47+J47+H47+T47-$V$6,NA())</f>
        <v>#N/A</v>
      </c>
      <c r="S47" s="4" t="str">
        <f>IF(A47&lt;('2. Inputs and results'!$B$23+1),'2. Inputs and results'!$B$81*(R46)," ")</f>
        <v xml:space="preserve"> </v>
      </c>
      <c r="T47" s="4">
        <f t="shared" si="1"/>
        <v>0</v>
      </c>
      <c r="U47" s="4" t="e">
        <f>IF(A47&lt;('2. Inputs and results'!$B$23+1),U46+(T47+I47+G47+H47+J47-$V$6)/((1+$P$2)^A47),NA())</f>
        <v>#N/A</v>
      </c>
      <c r="V47" s="4" t="str">
        <f>IF(A47&lt;('2. Inputs and results'!$B$23+1),V46+('2. Inputs and results'!$B$77*'2. Inputs and results'!$B$75)," ")</f>
        <v xml:space="preserve"> </v>
      </c>
      <c r="W47" s="4" t="e">
        <f>IF(A47&lt;('2. Inputs and results'!$B$23+1),W46+C47+Y47-$V$6,NA())</f>
        <v>#N/A</v>
      </c>
      <c r="X47" s="4" t="str">
        <f>IF(A47&lt;('2. Inputs and results'!$B$23+1),'2. Inputs and results'!$B$81*W46," ")</f>
        <v xml:space="preserve"> </v>
      </c>
      <c r="Y47" s="4">
        <f t="shared" si="2"/>
        <v>0</v>
      </c>
      <c r="Z47" s="4" t="e">
        <f>IF(A47&lt;('2. Inputs and results'!$B$23+1),Z46+(C47-$V$6+Y47)/((1+$P$2)^A47),NA())</f>
        <v>#N/A</v>
      </c>
      <c r="AA47" s="4" t="str">
        <f>IF(A47&lt;('2. Inputs and results'!$B$23+1),AA46+(G47+I47+H47+T47-$V$6)," ")</f>
        <v xml:space="preserve"> </v>
      </c>
      <c r="AB47" s="11" t="e">
        <f>IF(A47&lt;('2. Inputs and results'!$B$23+1),AA47/L47,NA())</f>
        <v>#N/A</v>
      </c>
      <c r="AC47" s="12" t="str">
        <f>IF(A47&lt;('2. Inputs and results'!$B$23+1),AC46+(C47+Y47-$V$6)," ")</f>
        <v xml:space="preserve"> </v>
      </c>
      <c r="AD47" s="11" t="e">
        <f>IF(A47&lt;('2. Inputs and results'!$B$23+1),AC47/L47,NA())</f>
        <v>#N/A</v>
      </c>
      <c r="AE47" t="str">
        <f>IF(A47&lt;('2. Inputs and results'!$B$23+1),-'2. Inputs and results'!$B$124*A47," ")</f>
        <v xml:space="preserve"> </v>
      </c>
      <c r="AF47" t="e">
        <f>IF(A47&lt;('2. Inputs and results'!$B$23+1),AE47/1000,NA())</f>
        <v>#N/A</v>
      </c>
    </row>
    <row r="48" spans="1:32">
      <c r="A48">
        <f t="shared" si="0"/>
        <v>43</v>
      </c>
      <c r="B48" t="str">
        <f>IF(A48&lt;('2. Inputs and results'!$B$23+1),A48," ")</f>
        <v xml:space="preserve"> </v>
      </c>
      <c r="C48" s="4" t="str">
        <f>IF(A48&lt;('2. Inputs and results'!$B$23+1),'2. Inputs and results'!$B$101+'2. Inputs and results'!$B$103," ")</f>
        <v xml:space="preserve"> </v>
      </c>
      <c r="D48" s="4" t="e">
        <f>IF(A48&lt;('2. Inputs and results'!$B$23+1),D47+C48,NA())</f>
        <v>#N/A</v>
      </c>
      <c r="E48" s="4" t="str">
        <f>IF(B48&lt;('2. Inputs and results'!$B$23+1),C48/((1+$P$2)^A48)," ")</f>
        <v xml:space="preserve"> </v>
      </c>
      <c r="F48" s="4" t="str">
        <f>IF(A48&lt;('2. Inputs and results'!$B$23+1),F47+E48," ")</f>
        <v xml:space="preserve"> </v>
      </c>
      <c r="G48" s="4" t="str">
        <f>IF(A48&lt;('2. Inputs and results'!$B$23+1),G47*(1+'2. Inputs and results'!$B$46)," ")</f>
        <v xml:space="preserve"> </v>
      </c>
      <c r="H48" s="4" t="str">
        <f>IF(A48&lt;('2. Inputs and results'!$B$23+1),H47*(1+'2. Inputs and results'!$B$58)," ")</f>
        <v xml:space="preserve"> </v>
      </c>
      <c r="I48" s="4" t="str">
        <f>IF(A48&lt;('2. Inputs and results'!$B$23+1),I47*(1+'2. Inputs and results'!$B$34)," ")</f>
        <v xml:space="preserve"> </v>
      </c>
      <c r="J48" s="4" t="str">
        <f>IF(A48&lt;('2. Inputs and results'!$B$23+1),J47*(1+'2. Inputs and results'!$B$68)," ")</f>
        <v xml:space="preserve"> </v>
      </c>
      <c r="K48" s="4" t="e">
        <f>IF('Solution 1, (hidden)'!A48&lt;('2. Inputs and results'!$B$23+1),K47+(G48+I48+H48+J48),NA())</f>
        <v>#N/A</v>
      </c>
      <c r="L48" s="4" t="e">
        <f>IF(A48&lt;('2. Inputs and results'!$B$23+1),L47,NA())</f>
        <v>#N/A</v>
      </c>
      <c r="M48" s="4" t="str">
        <f>IF(A48&lt;('2. Inputs and results'!$B$23+1),'2. Inputs and results'!$B$77*'2. Inputs and results'!$B$75," ")</f>
        <v xml:space="preserve"> </v>
      </c>
      <c r="N48" s="4" t="str">
        <f>IF(A48&lt;('2. Inputs and results'!$B$23+1),M48/((1+$P$2)^A48)," ")</f>
        <v xml:space="preserve"> </v>
      </c>
      <c r="O48" s="4" t="str">
        <f>IF(A48&lt;('2. Inputs and results'!$B$23+1),'2. Inputs and results'!$B$75*'2. Inputs and results'!$B$77+O47," ")</f>
        <v xml:space="preserve"> </v>
      </c>
      <c r="P48" s="4" t="str">
        <f>IF(A48&lt;('2. Inputs and results'!$B$23+1),(G48+I48+H48+J48)/((1+$P$2)^A48)," ")</f>
        <v xml:space="preserve"> </v>
      </c>
      <c r="Q48" s="4" t="str">
        <f>IF(A48&lt;('2. Inputs and results'!$B$23+1),Q47+P48," ")</f>
        <v xml:space="preserve"> </v>
      </c>
      <c r="R48" s="4" t="e">
        <f>IF(A48&lt;('2. Inputs and results'!$B$23+1),R47+G48+I48+J48+H48+T48-$V$6,NA())</f>
        <v>#N/A</v>
      </c>
      <c r="S48" s="4" t="str">
        <f>IF(A48&lt;('2. Inputs and results'!$B$23+1),'2. Inputs and results'!$B$81*(R47)," ")</f>
        <v xml:space="preserve"> </v>
      </c>
      <c r="T48" s="4">
        <f t="shared" si="1"/>
        <v>0</v>
      </c>
      <c r="U48" s="4" t="e">
        <f>IF(A48&lt;('2. Inputs and results'!$B$23+1),U47+(T48+I48+G48+H48+J48-$V$6)/((1+$P$2)^A48),NA())</f>
        <v>#N/A</v>
      </c>
      <c r="V48" s="4" t="str">
        <f>IF(A48&lt;('2. Inputs and results'!$B$23+1),V47+('2. Inputs and results'!$B$77*'2. Inputs and results'!$B$75)," ")</f>
        <v xml:space="preserve"> </v>
      </c>
      <c r="W48" s="4" t="e">
        <f>IF(A48&lt;('2. Inputs and results'!$B$23+1),W47+C48+Y48-$V$6,NA())</f>
        <v>#N/A</v>
      </c>
      <c r="X48" s="4" t="str">
        <f>IF(A48&lt;('2. Inputs and results'!$B$23+1),'2. Inputs and results'!$B$81*W47," ")</f>
        <v xml:space="preserve"> </v>
      </c>
      <c r="Y48" s="4">
        <f t="shared" si="2"/>
        <v>0</v>
      </c>
      <c r="Z48" s="4" t="e">
        <f>IF(A48&lt;('2. Inputs and results'!$B$23+1),Z47+(C48-$V$6+Y48)/((1+$P$2)^A48),NA())</f>
        <v>#N/A</v>
      </c>
      <c r="AA48" s="4" t="str">
        <f>IF(A48&lt;('2. Inputs and results'!$B$23+1),AA47+(G48+I48+H48+T48-$V$6)," ")</f>
        <v xml:space="preserve"> </v>
      </c>
      <c r="AB48" s="11" t="e">
        <f>IF(A48&lt;('2. Inputs and results'!$B$23+1),AA48/L48,NA())</f>
        <v>#N/A</v>
      </c>
      <c r="AC48" s="12" t="str">
        <f>IF(A48&lt;('2. Inputs and results'!$B$23+1),AC47+(C48+Y48-$V$6)," ")</f>
        <v xml:space="preserve"> </v>
      </c>
      <c r="AD48" s="11" t="e">
        <f>IF(A48&lt;('2. Inputs and results'!$B$23+1),AC48/L48,NA())</f>
        <v>#N/A</v>
      </c>
      <c r="AE48" t="str">
        <f>IF(A48&lt;('2. Inputs and results'!$B$23+1),-'2. Inputs and results'!$B$124*A48," ")</f>
        <v xml:space="preserve"> </v>
      </c>
      <c r="AF48" t="e">
        <f>IF(A48&lt;('2. Inputs and results'!$B$23+1),AE48/1000,NA())</f>
        <v>#N/A</v>
      </c>
    </row>
    <row r="49" spans="1:32">
      <c r="A49">
        <f t="shared" si="0"/>
        <v>44</v>
      </c>
      <c r="B49" t="str">
        <f>IF(A49&lt;('2. Inputs and results'!$B$23+1),A49," ")</f>
        <v xml:space="preserve"> </v>
      </c>
      <c r="C49" s="4" t="str">
        <f>IF(A49&lt;('2. Inputs and results'!$B$23+1),'2. Inputs and results'!$B$101+'2. Inputs and results'!$B$103," ")</f>
        <v xml:space="preserve"> </v>
      </c>
      <c r="D49" s="4" t="e">
        <f>IF(A49&lt;('2. Inputs and results'!$B$23+1),D48+C49,NA())</f>
        <v>#N/A</v>
      </c>
      <c r="E49" s="4" t="str">
        <f>IF(B49&lt;('2. Inputs and results'!$B$23+1),C49/((1+$P$2)^A49)," ")</f>
        <v xml:space="preserve"> </v>
      </c>
      <c r="F49" s="4" t="str">
        <f>IF(A49&lt;('2. Inputs and results'!$B$23+1),F48+E49," ")</f>
        <v xml:space="preserve"> </v>
      </c>
      <c r="G49" s="4" t="str">
        <f>IF(A49&lt;('2. Inputs and results'!$B$23+1),G48*(1+'2. Inputs and results'!$B$46)," ")</f>
        <v xml:space="preserve"> </v>
      </c>
      <c r="H49" s="4" t="str">
        <f>IF(A49&lt;('2. Inputs and results'!$B$23+1),H48*(1+'2. Inputs and results'!$B$58)," ")</f>
        <v xml:space="preserve"> </v>
      </c>
      <c r="I49" s="4" t="str">
        <f>IF(A49&lt;('2. Inputs and results'!$B$23+1),I48*(1+'2. Inputs and results'!$B$34)," ")</f>
        <v xml:space="preserve"> </v>
      </c>
      <c r="J49" s="4" t="str">
        <f>IF(A49&lt;('2. Inputs and results'!$B$23+1),J48*(1+'2. Inputs and results'!$B$68)," ")</f>
        <v xml:space="preserve"> </v>
      </c>
      <c r="K49" s="4" t="e">
        <f>IF('Solution 1, (hidden)'!A49&lt;('2. Inputs and results'!$B$23+1),K48+(G49+I49+H49+J49),NA())</f>
        <v>#N/A</v>
      </c>
      <c r="L49" s="4" t="e">
        <f>IF(A49&lt;('2. Inputs and results'!$B$23+1),L48,NA())</f>
        <v>#N/A</v>
      </c>
      <c r="M49" s="4" t="str">
        <f>IF(A49&lt;('2. Inputs and results'!$B$23+1),'2. Inputs and results'!$B$77*'2. Inputs and results'!$B$75," ")</f>
        <v xml:space="preserve"> </v>
      </c>
      <c r="N49" s="4" t="str">
        <f>IF(A49&lt;('2. Inputs and results'!$B$23+1),M49/((1+$P$2)^A49)," ")</f>
        <v xml:space="preserve"> </v>
      </c>
      <c r="O49" s="4" t="str">
        <f>IF(A49&lt;('2. Inputs and results'!$B$23+1),'2. Inputs and results'!$B$75*'2. Inputs and results'!$B$77+O48," ")</f>
        <v xml:space="preserve"> </v>
      </c>
      <c r="P49" s="4" t="str">
        <f>IF(A49&lt;('2. Inputs and results'!$B$23+1),(G49+I49+H49+J49)/((1+$P$2)^A49)," ")</f>
        <v xml:space="preserve"> </v>
      </c>
      <c r="Q49" s="4" t="str">
        <f>IF(A49&lt;('2. Inputs and results'!$B$23+1),Q48+P49," ")</f>
        <v xml:space="preserve"> </v>
      </c>
      <c r="R49" s="4" t="e">
        <f>IF(A49&lt;('2. Inputs and results'!$B$23+1),R48+G49+I49+J49+H49+T49-$V$6,NA())</f>
        <v>#N/A</v>
      </c>
      <c r="S49" s="4" t="str">
        <f>IF(A49&lt;('2. Inputs and results'!$B$23+1),'2. Inputs and results'!$B$81*(R48)," ")</f>
        <v xml:space="preserve"> </v>
      </c>
      <c r="T49" s="4">
        <f t="shared" si="1"/>
        <v>0</v>
      </c>
      <c r="U49" s="4" t="e">
        <f>IF(A49&lt;('2. Inputs and results'!$B$23+1),U48+(T49+I49+G49+H49+J49-$V$6)/((1+$P$2)^A49),NA())</f>
        <v>#N/A</v>
      </c>
      <c r="V49" s="4" t="str">
        <f>IF(A49&lt;('2. Inputs and results'!$B$23+1),V48+('2. Inputs and results'!$B$77*'2. Inputs and results'!$B$75)," ")</f>
        <v xml:space="preserve"> </v>
      </c>
      <c r="W49" s="4" t="e">
        <f>IF(A49&lt;('2. Inputs and results'!$B$23+1),W48+C49+Y49-$V$6,NA())</f>
        <v>#N/A</v>
      </c>
      <c r="X49" s="4" t="str">
        <f>IF(A49&lt;('2. Inputs and results'!$B$23+1),'2. Inputs and results'!$B$81*W48," ")</f>
        <v xml:space="preserve"> </v>
      </c>
      <c r="Y49" s="4">
        <f t="shared" si="2"/>
        <v>0</v>
      </c>
      <c r="Z49" s="4" t="e">
        <f>IF(A49&lt;('2. Inputs and results'!$B$23+1),Z48+(C49-$V$6+Y49)/((1+$P$2)^A49),NA())</f>
        <v>#N/A</v>
      </c>
      <c r="AA49" s="4" t="str">
        <f>IF(A49&lt;('2. Inputs and results'!$B$23+1),AA48+(G49+I49+H49+T49-$V$6)," ")</f>
        <v xml:space="preserve"> </v>
      </c>
      <c r="AB49" s="11" t="e">
        <f>IF(A49&lt;('2. Inputs and results'!$B$23+1),AA49/L49,NA())</f>
        <v>#N/A</v>
      </c>
      <c r="AC49" s="12" t="str">
        <f>IF(A49&lt;('2. Inputs and results'!$B$23+1),AC48+(C49+Y49-$V$6)," ")</f>
        <v xml:space="preserve"> </v>
      </c>
      <c r="AD49" s="11" t="e">
        <f>IF(A49&lt;('2. Inputs and results'!$B$23+1),AC49/L49,NA())</f>
        <v>#N/A</v>
      </c>
      <c r="AE49" t="str">
        <f>IF(A49&lt;('2. Inputs and results'!$B$23+1),-'2. Inputs and results'!$B$124*A49," ")</f>
        <v xml:space="preserve"> </v>
      </c>
      <c r="AF49" t="e">
        <f>IF(A49&lt;('2. Inputs and results'!$B$23+1),AE49/1000,NA())</f>
        <v>#N/A</v>
      </c>
    </row>
    <row r="50" spans="1:32">
      <c r="A50">
        <f t="shared" si="0"/>
        <v>45</v>
      </c>
      <c r="B50" t="str">
        <f>IF(A50&lt;('2. Inputs and results'!$B$23+1),A50," ")</f>
        <v xml:space="preserve"> </v>
      </c>
      <c r="C50" s="4" t="str">
        <f>IF(A50&lt;('2. Inputs and results'!$B$23+1),'2. Inputs and results'!$B$101+'2. Inputs and results'!$B$103," ")</f>
        <v xml:space="preserve"> </v>
      </c>
      <c r="D50" s="4" t="e">
        <f>IF(A50&lt;('2. Inputs and results'!$B$23+1),D49+C50,NA())</f>
        <v>#N/A</v>
      </c>
      <c r="E50" s="4" t="str">
        <f>IF(B50&lt;('2. Inputs and results'!$B$23+1),C50/((1+$P$2)^A50)," ")</f>
        <v xml:space="preserve"> </v>
      </c>
      <c r="F50" s="4" t="str">
        <f>IF(A50&lt;('2. Inputs and results'!$B$23+1),F49+E50," ")</f>
        <v xml:space="preserve"> </v>
      </c>
      <c r="G50" s="4" t="str">
        <f>IF(A50&lt;('2. Inputs and results'!$B$23+1),G49*(1+'2. Inputs and results'!$B$46)," ")</f>
        <v xml:space="preserve"> </v>
      </c>
      <c r="H50" s="4" t="str">
        <f>IF(A50&lt;('2. Inputs and results'!$B$23+1),H49*(1+'2. Inputs and results'!$B$58)," ")</f>
        <v xml:space="preserve"> </v>
      </c>
      <c r="I50" s="4" t="str">
        <f>IF(A50&lt;('2. Inputs and results'!$B$23+1),I49*(1+'2. Inputs and results'!$B$34)," ")</f>
        <v xml:space="preserve"> </v>
      </c>
      <c r="J50" s="4" t="str">
        <f>IF(A50&lt;('2. Inputs and results'!$B$23+1),J49*(1+'2. Inputs and results'!$B$68)," ")</f>
        <v xml:space="preserve"> </v>
      </c>
      <c r="K50" s="4" t="e">
        <f>IF('Solution 1, (hidden)'!A50&lt;('2. Inputs and results'!$B$23+1),K49+(G50+I50+H50+J50),NA())</f>
        <v>#N/A</v>
      </c>
      <c r="L50" s="4" t="e">
        <f>IF(A50&lt;('2. Inputs and results'!$B$23+1),L49,NA())</f>
        <v>#N/A</v>
      </c>
      <c r="M50" s="4" t="str">
        <f>IF(A50&lt;('2. Inputs and results'!$B$23+1),'2. Inputs and results'!$B$77*'2. Inputs and results'!$B$75," ")</f>
        <v xml:space="preserve"> </v>
      </c>
      <c r="N50" s="4" t="str">
        <f>IF(A50&lt;('2. Inputs and results'!$B$23+1),M50/((1+$P$2)^A50)," ")</f>
        <v xml:space="preserve"> </v>
      </c>
      <c r="O50" s="4" t="str">
        <f>IF(A50&lt;('2. Inputs and results'!$B$23+1),'2. Inputs and results'!$B$75*'2. Inputs and results'!$B$77+O49," ")</f>
        <v xml:space="preserve"> </v>
      </c>
      <c r="P50" s="4" t="str">
        <f>IF(A50&lt;('2. Inputs and results'!$B$23+1),(G50+I50+H50+J50)/((1+$P$2)^A50)," ")</f>
        <v xml:space="preserve"> </v>
      </c>
      <c r="Q50" s="4" t="str">
        <f>IF(A50&lt;('2. Inputs and results'!$B$23+1),Q49+P50," ")</f>
        <v xml:space="preserve"> </v>
      </c>
      <c r="R50" s="4" t="e">
        <f>IF(A50&lt;('2. Inputs and results'!$B$23+1),R49+G50+I50+J50+H50+T50-$V$6,NA())</f>
        <v>#N/A</v>
      </c>
      <c r="S50" s="4" t="str">
        <f>IF(A50&lt;('2. Inputs and results'!$B$23+1),'2. Inputs and results'!$B$81*(R49)," ")</f>
        <v xml:space="preserve"> </v>
      </c>
      <c r="T50" s="4">
        <f t="shared" si="1"/>
        <v>0</v>
      </c>
      <c r="U50" s="4" t="e">
        <f>IF(A50&lt;('2. Inputs and results'!$B$23+1),U49+(T50+I50+G50+H50+J50-$V$6)/((1+$P$2)^A50),NA())</f>
        <v>#N/A</v>
      </c>
      <c r="V50" s="4" t="str">
        <f>IF(A50&lt;('2. Inputs and results'!$B$23+1),V49+('2. Inputs and results'!$B$77*'2. Inputs and results'!$B$75)," ")</f>
        <v xml:space="preserve"> </v>
      </c>
      <c r="W50" s="4" t="e">
        <f>IF(A50&lt;('2. Inputs and results'!$B$23+1),W49+C50+Y50-$V$6,NA())</f>
        <v>#N/A</v>
      </c>
      <c r="X50" s="4" t="str">
        <f>IF(A50&lt;('2. Inputs and results'!$B$23+1),'2. Inputs and results'!$B$81*W49," ")</f>
        <v xml:space="preserve"> </v>
      </c>
      <c r="Y50" s="4">
        <f t="shared" si="2"/>
        <v>0</v>
      </c>
      <c r="Z50" s="4" t="e">
        <f>IF(A50&lt;('2. Inputs and results'!$B$23+1),Z49+(C50-$V$6+Y50)/((1+$P$2)^A50),NA())</f>
        <v>#N/A</v>
      </c>
      <c r="AA50" s="4" t="str">
        <f>IF(A50&lt;('2. Inputs and results'!$B$23+1),AA49+(G50+I50+H50+T50-$V$6)," ")</f>
        <v xml:space="preserve"> </v>
      </c>
      <c r="AB50" s="11" t="e">
        <f>IF(A50&lt;('2. Inputs and results'!$B$23+1),AA50/L50,NA())</f>
        <v>#N/A</v>
      </c>
      <c r="AC50" s="12" t="str">
        <f>IF(A50&lt;('2. Inputs and results'!$B$23+1),AC49+(C50+Y50-$V$6)," ")</f>
        <v xml:space="preserve"> </v>
      </c>
      <c r="AD50" s="11" t="e">
        <f>IF(A50&lt;('2. Inputs and results'!$B$23+1),AC50/L50,NA())</f>
        <v>#N/A</v>
      </c>
      <c r="AE50" t="str">
        <f>IF(A50&lt;('2. Inputs and results'!$B$23+1),-'2. Inputs and results'!$B$124*A50," ")</f>
        <v xml:space="preserve"> </v>
      </c>
      <c r="AF50" t="e">
        <f>IF(A50&lt;('2. Inputs and results'!$B$23+1),AE50/1000,NA())</f>
        <v>#N/A</v>
      </c>
    </row>
    <row r="51" spans="1:32">
      <c r="A51">
        <f t="shared" si="0"/>
        <v>46</v>
      </c>
      <c r="B51" t="str">
        <f>IF(A51&lt;('2. Inputs and results'!$B$23+1),A51," ")</f>
        <v xml:space="preserve"> </v>
      </c>
      <c r="C51" s="4" t="str">
        <f>IF(A51&lt;('2. Inputs and results'!$B$23+1),'2. Inputs and results'!$B$101+'2. Inputs and results'!$B$103," ")</f>
        <v xml:space="preserve"> </v>
      </c>
      <c r="D51" s="4" t="e">
        <f>IF(A51&lt;('2. Inputs and results'!$B$23+1),D50+C51,NA())</f>
        <v>#N/A</v>
      </c>
      <c r="E51" s="4" t="str">
        <f>IF(B51&lt;('2. Inputs and results'!$B$23+1),C51/((1+$P$2)^A51)," ")</f>
        <v xml:space="preserve"> </v>
      </c>
      <c r="F51" s="4" t="str">
        <f>IF(A51&lt;('2. Inputs and results'!$B$23+1),F50+E51," ")</f>
        <v xml:space="preserve"> </v>
      </c>
      <c r="G51" s="4" t="str">
        <f>IF(A51&lt;('2. Inputs and results'!$B$23+1),G50*(1+'2. Inputs and results'!$B$46)," ")</f>
        <v xml:space="preserve"> </v>
      </c>
      <c r="H51" s="4" t="str">
        <f>IF(A51&lt;('2. Inputs and results'!$B$23+1),H50*(1+'2. Inputs and results'!$B$58)," ")</f>
        <v xml:space="preserve"> </v>
      </c>
      <c r="I51" s="4" t="str">
        <f>IF(A51&lt;('2. Inputs and results'!$B$23+1),I50*(1+'2. Inputs and results'!$B$34)," ")</f>
        <v xml:space="preserve"> </v>
      </c>
      <c r="J51" s="4" t="str">
        <f>IF(A51&lt;('2. Inputs and results'!$B$23+1),J50*(1+'2. Inputs and results'!$B$68)," ")</f>
        <v xml:space="preserve"> </v>
      </c>
      <c r="K51" s="4" t="e">
        <f>IF('Solution 1, (hidden)'!A51&lt;('2. Inputs and results'!$B$23+1),K50+(G51+I51+H51+J51),NA())</f>
        <v>#N/A</v>
      </c>
      <c r="L51" s="4" t="e">
        <f>IF(A51&lt;('2. Inputs and results'!$B$23+1),L50,NA())</f>
        <v>#N/A</v>
      </c>
      <c r="M51" s="4" t="str">
        <f>IF(A51&lt;('2. Inputs and results'!$B$23+1),'2. Inputs and results'!$B$77*'2. Inputs and results'!$B$75," ")</f>
        <v xml:space="preserve"> </v>
      </c>
      <c r="N51" s="4" t="str">
        <f>IF(A51&lt;('2. Inputs and results'!$B$23+1),M51/((1+$P$2)^A51)," ")</f>
        <v xml:space="preserve"> </v>
      </c>
      <c r="O51" s="4" t="str">
        <f>IF(A51&lt;('2. Inputs and results'!$B$23+1),'2. Inputs and results'!$B$75*'2. Inputs and results'!$B$77+O50," ")</f>
        <v xml:space="preserve"> </v>
      </c>
      <c r="P51" s="4" t="str">
        <f>IF(A51&lt;('2. Inputs and results'!$B$23+1),(G51+I51+H51+J51)/((1+$P$2)^A51)," ")</f>
        <v xml:space="preserve"> </v>
      </c>
      <c r="Q51" s="4" t="str">
        <f>IF(A51&lt;('2. Inputs and results'!$B$23+1),Q50+P51," ")</f>
        <v xml:space="preserve"> </v>
      </c>
      <c r="R51" s="4" t="e">
        <f>IF(A51&lt;('2. Inputs and results'!$B$23+1),R50+G51+I51+J51+H51+T51-$V$6,NA())</f>
        <v>#N/A</v>
      </c>
      <c r="S51" s="4" t="str">
        <f>IF(A51&lt;('2. Inputs and results'!$B$23+1),'2. Inputs and results'!$B$81*(R50)," ")</f>
        <v xml:space="preserve"> </v>
      </c>
      <c r="T51" s="4">
        <f t="shared" si="1"/>
        <v>0</v>
      </c>
      <c r="U51" s="4" t="e">
        <f>IF(A51&lt;('2. Inputs and results'!$B$23+1),U50+(T51+I51+G51+H51+J51-$V$6)/((1+$P$2)^A51),NA())</f>
        <v>#N/A</v>
      </c>
      <c r="V51" s="4" t="str">
        <f>IF(A51&lt;('2. Inputs and results'!$B$23+1),V50+('2. Inputs and results'!$B$77*'2. Inputs and results'!$B$75)," ")</f>
        <v xml:space="preserve"> </v>
      </c>
      <c r="W51" s="4" t="e">
        <f>IF(A51&lt;('2. Inputs and results'!$B$23+1),W50+C51+Y51-$V$6,NA())</f>
        <v>#N/A</v>
      </c>
      <c r="X51" s="4" t="str">
        <f>IF(A51&lt;('2. Inputs and results'!$B$23+1),'2. Inputs and results'!$B$81*W50," ")</f>
        <v xml:space="preserve"> </v>
      </c>
      <c r="Y51" s="4">
        <f t="shared" si="2"/>
        <v>0</v>
      </c>
      <c r="Z51" s="4" t="e">
        <f>IF(A51&lt;('2. Inputs and results'!$B$23+1),Z50+(C51-$V$6+Y51)/((1+$P$2)^A51),NA())</f>
        <v>#N/A</v>
      </c>
      <c r="AA51" s="4" t="str">
        <f>IF(A51&lt;('2. Inputs and results'!$B$23+1),AA50+(G51+I51+H51+T51-$V$6)," ")</f>
        <v xml:space="preserve"> </v>
      </c>
      <c r="AB51" s="11" t="e">
        <f>IF(A51&lt;('2. Inputs and results'!$B$23+1),AA51/L51,NA())</f>
        <v>#N/A</v>
      </c>
      <c r="AC51" s="12" t="str">
        <f>IF(A51&lt;('2. Inputs and results'!$B$23+1),AC50+(C51+Y51-$V$6)," ")</f>
        <v xml:space="preserve"> </v>
      </c>
      <c r="AD51" s="11" t="e">
        <f>IF(A51&lt;('2. Inputs and results'!$B$23+1),AC51/L51,NA())</f>
        <v>#N/A</v>
      </c>
      <c r="AE51" t="str">
        <f>IF(A51&lt;('2. Inputs and results'!$B$23+1),-'2. Inputs and results'!$B$124*A51," ")</f>
        <v xml:space="preserve"> </v>
      </c>
      <c r="AF51" t="e">
        <f>IF(A51&lt;('2. Inputs and results'!$B$23+1),AE51/1000,NA())</f>
        <v>#N/A</v>
      </c>
    </row>
    <row r="52" spans="1:32">
      <c r="A52">
        <f t="shared" si="0"/>
        <v>47</v>
      </c>
      <c r="B52" t="str">
        <f>IF(A52&lt;('2. Inputs and results'!$B$23+1),A52," ")</f>
        <v xml:space="preserve"> </v>
      </c>
      <c r="C52" s="4" t="str">
        <f>IF(A52&lt;('2. Inputs and results'!$B$23+1),'2. Inputs and results'!$B$101+'2. Inputs and results'!$B$103," ")</f>
        <v xml:space="preserve"> </v>
      </c>
      <c r="D52" s="4" t="e">
        <f>IF(A52&lt;('2. Inputs and results'!$B$23+1),D51+C52,NA())</f>
        <v>#N/A</v>
      </c>
      <c r="E52" s="4" t="str">
        <f>IF(B52&lt;('2. Inputs and results'!$B$23+1),C52/((1+$P$2)^A52)," ")</f>
        <v xml:space="preserve"> </v>
      </c>
      <c r="F52" s="4" t="str">
        <f>IF(A52&lt;('2. Inputs and results'!$B$23+1),F51+E52," ")</f>
        <v xml:space="preserve"> </v>
      </c>
      <c r="G52" s="4" t="str">
        <f>IF(A52&lt;('2. Inputs and results'!$B$23+1),G51*(1+'2. Inputs and results'!$B$46)," ")</f>
        <v xml:space="preserve"> </v>
      </c>
      <c r="H52" s="4" t="str">
        <f>IF(A52&lt;('2. Inputs and results'!$B$23+1),H51*(1+'2. Inputs and results'!$B$58)," ")</f>
        <v xml:space="preserve"> </v>
      </c>
      <c r="I52" s="4" t="str">
        <f>IF(A52&lt;('2. Inputs and results'!$B$23+1),I51*(1+'2. Inputs and results'!$B$34)," ")</f>
        <v xml:space="preserve"> </v>
      </c>
      <c r="J52" s="4" t="str">
        <f>IF(A52&lt;('2. Inputs and results'!$B$23+1),J51*(1+'2. Inputs and results'!$B$68)," ")</f>
        <v xml:space="preserve"> </v>
      </c>
      <c r="K52" s="4" t="e">
        <f>IF('Solution 1, (hidden)'!A52&lt;('2. Inputs and results'!$B$23+1),K51+(G52+I52+H52+J52),NA())</f>
        <v>#N/A</v>
      </c>
      <c r="L52" s="4" t="e">
        <f>IF(A52&lt;('2. Inputs and results'!$B$23+1),L51,NA())</f>
        <v>#N/A</v>
      </c>
      <c r="M52" s="4" t="str">
        <f>IF(A52&lt;('2. Inputs and results'!$B$23+1),'2. Inputs and results'!$B$77*'2. Inputs and results'!$B$75," ")</f>
        <v xml:space="preserve"> </v>
      </c>
      <c r="N52" s="4" t="str">
        <f>IF(A52&lt;('2. Inputs and results'!$B$23+1),M52/((1+$P$2)^A52)," ")</f>
        <v xml:space="preserve"> </v>
      </c>
      <c r="O52" s="4" t="str">
        <f>IF(A52&lt;('2. Inputs and results'!$B$23+1),'2. Inputs and results'!$B$75*'2. Inputs and results'!$B$77+O51," ")</f>
        <v xml:space="preserve"> </v>
      </c>
      <c r="P52" s="4" t="str">
        <f>IF(A52&lt;('2. Inputs and results'!$B$23+1),(G52+I52+H52+J52)/((1+$P$2)^A52)," ")</f>
        <v xml:space="preserve"> </v>
      </c>
      <c r="Q52" s="4" t="str">
        <f>IF(A52&lt;('2. Inputs and results'!$B$23+1),Q51+P52," ")</f>
        <v xml:space="preserve"> </v>
      </c>
      <c r="R52" s="4" t="e">
        <f>IF(A52&lt;('2. Inputs and results'!$B$23+1),R51+G52+I52+J52+H52+T52-$V$6,NA())</f>
        <v>#N/A</v>
      </c>
      <c r="S52" s="4" t="str">
        <f>IF(A52&lt;('2. Inputs and results'!$B$23+1),'2. Inputs and results'!$B$81*(R51)," ")</f>
        <v xml:space="preserve"> </v>
      </c>
      <c r="T52" s="4">
        <f t="shared" si="1"/>
        <v>0</v>
      </c>
      <c r="U52" s="4" t="e">
        <f>IF(A52&lt;('2. Inputs and results'!$B$23+1),U51+(T52+I52+G52+H52+J52-$V$6)/((1+$P$2)^A52),NA())</f>
        <v>#N/A</v>
      </c>
      <c r="V52" s="4" t="str">
        <f>IF(A52&lt;('2. Inputs and results'!$B$23+1),V51+('2. Inputs and results'!$B$77*'2. Inputs and results'!$B$75)," ")</f>
        <v xml:space="preserve"> </v>
      </c>
      <c r="W52" s="4" t="e">
        <f>IF(A52&lt;('2. Inputs and results'!$B$23+1),W51+C52+Y52-$V$6,NA())</f>
        <v>#N/A</v>
      </c>
      <c r="X52" s="4" t="str">
        <f>IF(A52&lt;('2. Inputs and results'!$B$23+1),'2. Inputs and results'!$B$81*W51," ")</f>
        <v xml:space="preserve"> </v>
      </c>
      <c r="Y52" s="4">
        <f t="shared" si="2"/>
        <v>0</v>
      </c>
      <c r="Z52" s="4" t="e">
        <f>IF(A52&lt;('2. Inputs and results'!$B$23+1),Z51+(C52-$V$6+Y52)/((1+$P$2)^A52),NA())</f>
        <v>#N/A</v>
      </c>
      <c r="AA52" s="4" t="str">
        <f>IF(A52&lt;('2. Inputs and results'!$B$23+1),AA51+(G52+I52+H52+T52-$V$6)," ")</f>
        <v xml:space="preserve"> </v>
      </c>
      <c r="AB52" s="11" t="e">
        <f>IF(A52&lt;('2. Inputs and results'!$B$23+1),AA52/L52,NA())</f>
        <v>#N/A</v>
      </c>
      <c r="AC52" s="12" t="str">
        <f>IF(A52&lt;('2. Inputs and results'!$B$23+1),AC51+(C52+Y52-$V$6)," ")</f>
        <v xml:space="preserve"> </v>
      </c>
      <c r="AD52" s="11" t="e">
        <f>IF(A52&lt;('2. Inputs and results'!$B$23+1),AC52/L52,NA())</f>
        <v>#N/A</v>
      </c>
      <c r="AE52" t="str">
        <f>IF(A52&lt;('2. Inputs and results'!$B$23+1),-'2. Inputs and results'!$B$124*A52," ")</f>
        <v xml:space="preserve"> </v>
      </c>
      <c r="AF52" t="e">
        <f>IF(A52&lt;('2. Inputs and results'!$B$23+1),AE52/1000,NA())</f>
        <v>#N/A</v>
      </c>
    </row>
    <row r="53" spans="1:32">
      <c r="A53">
        <f t="shared" si="0"/>
        <v>48</v>
      </c>
      <c r="B53" t="str">
        <f>IF(A53&lt;('2. Inputs and results'!$B$23+1),A53," ")</f>
        <v xml:space="preserve"> </v>
      </c>
      <c r="C53" s="4" t="str">
        <f>IF(A53&lt;('2. Inputs and results'!$B$23+1),'2. Inputs and results'!$B$101+'2. Inputs and results'!$B$103," ")</f>
        <v xml:space="preserve"> </v>
      </c>
      <c r="D53" s="4" t="e">
        <f>IF(A53&lt;('2. Inputs and results'!$B$23+1),D52+C53,NA())</f>
        <v>#N/A</v>
      </c>
      <c r="E53" s="4" t="str">
        <f>IF(B53&lt;('2. Inputs and results'!$B$23+1),C53/((1+$P$2)^A53)," ")</f>
        <v xml:space="preserve"> </v>
      </c>
      <c r="F53" s="4" t="str">
        <f>IF(A53&lt;('2. Inputs and results'!$B$23+1),F52+E53," ")</f>
        <v xml:space="preserve"> </v>
      </c>
      <c r="G53" s="4" t="str">
        <f>IF(A53&lt;('2. Inputs and results'!$B$23+1),G52*(1+'2. Inputs and results'!$B$46)," ")</f>
        <v xml:space="preserve"> </v>
      </c>
      <c r="H53" s="4" t="str">
        <f>IF(A53&lt;('2. Inputs and results'!$B$23+1),H52*(1+'2. Inputs and results'!$B$58)," ")</f>
        <v xml:space="preserve"> </v>
      </c>
      <c r="I53" s="4" t="str">
        <f>IF(A53&lt;('2. Inputs and results'!$B$23+1),I52*(1+'2. Inputs and results'!$B$34)," ")</f>
        <v xml:space="preserve"> </v>
      </c>
      <c r="J53" s="4" t="str">
        <f>IF(A53&lt;('2. Inputs and results'!$B$23+1),J52*(1+'2. Inputs and results'!$B$68)," ")</f>
        <v xml:space="preserve"> </v>
      </c>
      <c r="K53" s="4" t="e">
        <f>IF('Solution 1, (hidden)'!A53&lt;('2. Inputs and results'!$B$23+1),K52+(G53+I53+H53+J53),NA())</f>
        <v>#N/A</v>
      </c>
      <c r="L53" s="4" t="e">
        <f>IF(A53&lt;('2. Inputs and results'!$B$23+1),L52,NA())</f>
        <v>#N/A</v>
      </c>
      <c r="M53" s="4" t="str">
        <f>IF(A53&lt;('2. Inputs and results'!$B$23+1),'2. Inputs and results'!$B$77*'2. Inputs and results'!$B$75," ")</f>
        <v xml:space="preserve"> </v>
      </c>
      <c r="N53" s="4" t="str">
        <f>IF(A53&lt;('2. Inputs and results'!$B$23+1),M53/((1+$P$2)^A53)," ")</f>
        <v xml:space="preserve"> </v>
      </c>
      <c r="O53" s="4" t="str">
        <f>IF(A53&lt;('2. Inputs and results'!$B$23+1),'2. Inputs and results'!$B$75*'2. Inputs and results'!$B$77+O52," ")</f>
        <v xml:space="preserve"> </v>
      </c>
      <c r="P53" s="4" t="str">
        <f>IF(A53&lt;('2. Inputs and results'!$B$23+1),(G53+I53+H53+J53)/((1+$P$2)^A53)," ")</f>
        <v xml:space="preserve"> </v>
      </c>
      <c r="Q53" s="4" t="str">
        <f>IF(A53&lt;('2. Inputs and results'!$B$23+1),Q52+P53," ")</f>
        <v xml:space="preserve"> </v>
      </c>
      <c r="R53" s="4" t="e">
        <f>IF(A53&lt;('2. Inputs and results'!$B$23+1),R52+G53+I53+J53+H53+T53-$V$6,NA())</f>
        <v>#N/A</v>
      </c>
      <c r="S53" s="4" t="str">
        <f>IF(A53&lt;('2. Inputs and results'!$B$23+1),'2. Inputs and results'!$B$81*(R52)," ")</f>
        <v xml:space="preserve"> </v>
      </c>
      <c r="T53" s="4">
        <f t="shared" si="1"/>
        <v>0</v>
      </c>
      <c r="U53" s="4" t="e">
        <f>IF(A53&lt;('2. Inputs and results'!$B$23+1),U52+(T53+I53+G53+H53+J53-$V$6)/((1+$P$2)^A53),NA())</f>
        <v>#N/A</v>
      </c>
      <c r="V53" s="4" t="str">
        <f>IF(A53&lt;('2. Inputs and results'!$B$23+1),V52+('2. Inputs and results'!$B$77*'2. Inputs and results'!$B$75)," ")</f>
        <v xml:space="preserve"> </v>
      </c>
      <c r="W53" s="4" t="e">
        <f>IF(A53&lt;('2. Inputs and results'!$B$23+1),W52+C53+Y53-$V$6,NA())</f>
        <v>#N/A</v>
      </c>
      <c r="X53" s="4" t="str">
        <f>IF(A53&lt;('2. Inputs and results'!$B$23+1),'2. Inputs and results'!$B$81*W52," ")</f>
        <v xml:space="preserve"> </v>
      </c>
      <c r="Y53" s="4">
        <f t="shared" si="2"/>
        <v>0</v>
      </c>
      <c r="Z53" s="4" t="e">
        <f>IF(A53&lt;('2. Inputs and results'!$B$23+1),Z52+(C53-$V$6+Y53)/((1+$P$2)^A53),NA())</f>
        <v>#N/A</v>
      </c>
      <c r="AA53" s="4" t="str">
        <f>IF(A53&lt;('2. Inputs and results'!$B$23+1),AA52+(G53+I53+H53+T53-$V$6)," ")</f>
        <v xml:space="preserve"> </v>
      </c>
      <c r="AB53" s="11" t="e">
        <f>IF(A53&lt;('2. Inputs and results'!$B$23+1),AA53/L53,NA())</f>
        <v>#N/A</v>
      </c>
      <c r="AC53" s="12" t="str">
        <f>IF(A53&lt;('2. Inputs and results'!$B$23+1),AC52+(C53+Y53-$V$6)," ")</f>
        <v xml:space="preserve"> </v>
      </c>
      <c r="AD53" s="11" t="e">
        <f>IF(A53&lt;('2. Inputs and results'!$B$23+1),AC53/L53,NA())</f>
        <v>#N/A</v>
      </c>
      <c r="AE53" t="str">
        <f>IF(A53&lt;('2. Inputs and results'!$B$23+1),-'2. Inputs and results'!$B$124*A53," ")</f>
        <v xml:space="preserve"> </v>
      </c>
      <c r="AF53" t="e">
        <f>IF(A53&lt;('2. Inputs and results'!$B$23+1),AE53/1000,NA())</f>
        <v>#N/A</v>
      </c>
    </row>
    <row r="54" spans="1:32">
      <c r="A54">
        <f t="shared" si="0"/>
        <v>49</v>
      </c>
      <c r="B54" t="str">
        <f>IF(A54&lt;('2. Inputs and results'!$B$23+1),A54," ")</f>
        <v xml:space="preserve"> </v>
      </c>
      <c r="C54" s="4" t="str">
        <f>IF(A54&lt;('2. Inputs and results'!$B$23+1),'2. Inputs and results'!$B$101+'2. Inputs and results'!$B$103," ")</f>
        <v xml:space="preserve"> </v>
      </c>
      <c r="D54" s="4" t="e">
        <f>IF(A54&lt;('2. Inputs and results'!$B$23+1),D53+C54,NA())</f>
        <v>#N/A</v>
      </c>
      <c r="E54" s="4" t="str">
        <f>IF(B54&lt;('2. Inputs and results'!$B$23+1),C54/((1+$P$2)^A54)," ")</f>
        <v xml:space="preserve"> </v>
      </c>
      <c r="F54" s="4" t="str">
        <f>IF(A54&lt;('2. Inputs and results'!$B$23+1),F53+E54," ")</f>
        <v xml:space="preserve"> </v>
      </c>
      <c r="G54" s="4" t="str">
        <f>IF(A54&lt;('2. Inputs and results'!$B$23+1),G53*(1+'2. Inputs and results'!$B$46)," ")</f>
        <v xml:space="preserve"> </v>
      </c>
      <c r="H54" s="4" t="str">
        <f>IF(A54&lt;('2. Inputs and results'!$B$23+1),H53*(1+'2. Inputs and results'!$B$58)," ")</f>
        <v xml:space="preserve"> </v>
      </c>
      <c r="I54" s="4" t="str">
        <f>IF(A54&lt;('2. Inputs and results'!$B$23+1),I53*(1+'2. Inputs and results'!$B$34)," ")</f>
        <v xml:space="preserve"> </v>
      </c>
      <c r="J54" s="4" t="str">
        <f>IF(A54&lt;('2. Inputs and results'!$B$23+1),J53*(1+'2. Inputs and results'!$B$68)," ")</f>
        <v xml:space="preserve"> </v>
      </c>
      <c r="K54" s="4" t="e">
        <f>IF('Solution 1, (hidden)'!A54&lt;('2. Inputs and results'!$B$23+1),K53+(G54+I54+H54+J54),NA())</f>
        <v>#N/A</v>
      </c>
      <c r="L54" s="4" t="e">
        <f>IF(A54&lt;('2. Inputs and results'!$B$23+1),L53,NA())</f>
        <v>#N/A</v>
      </c>
      <c r="M54" s="4" t="str">
        <f>IF(A54&lt;('2. Inputs and results'!$B$23+1),'2. Inputs and results'!$B$77*'2. Inputs and results'!$B$75," ")</f>
        <v xml:space="preserve"> </v>
      </c>
      <c r="N54" s="4" t="str">
        <f>IF(A54&lt;('2. Inputs and results'!$B$23+1),M54/((1+$P$2)^A54)," ")</f>
        <v xml:space="preserve"> </v>
      </c>
      <c r="O54" s="4" t="str">
        <f>IF(A54&lt;('2. Inputs and results'!$B$23+1),'2. Inputs and results'!$B$75*'2. Inputs and results'!$B$77+O53," ")</f>
        <v xml:space="preserve"> </v>
      </c>
      <c r="P54" s="4" t="str">
        <f>IF(A54&lt;('2. Inputs and results'!$B$23+1),(G54+I54+H54+J54)/((1+$P$2)^A54)," ")</f>
        <v xml:space="preserve"> </v>
      </c>
      <c r="Q54" s="4" t="str">
        <f>IF(A54&lt;('2. Inputs and results'!$B$23+1),Q53+P54," ")</f>
        <v xml:space="preserve"> </v>
      </c>
      <c r="R54" s="4" t="e">
        <f>IF(A54&lt;('2. Inputs and results'!$B$23+1),R53+G54+I54+J54+H54+T54-$V$6,NA())</f>
        <v>#N/A</v>
      </c>
      <c r="S54" s="4" t="str">
        <f>IF(A54&lt;('2. Inputs and results'!$B$23+1),'2. Inputs and results'!$B$81*(R53)," ")</f>
        <v xml:space="preserve"> </v>
      </c>
      <c r="T54" s="4">
        <f t="shared" si="1"/>
        <v>0</v>
      </c>
      <c r="U54" s="4" t="e">
        <f>IF(A54&lt;('2. Inputs and results'!$B$23+1),U53+(T54+I54+G54+H54+J54-$V$6)/((1+$P$2)^A54),NA())</f>
        <v>#N/A</v>
      </c>
      <c r="V54" s="4" t="str">
        <f>IF(A54&lt;('2. Inputs and results'!$B$23+1),V53+('2. Inputs and results'!$B$77*'2. Inputs and results'!$B$75)," ")</f>
        <v xml:space="preserve"> </v>
      </c>
      <c r="W54" s="4" t="e">
        <f>IF(A54&lt;('2. Inputs and results'!$B$23+1),W53+C54+Y54-$V$6,NA())</f>
        <v>#N/A</v>
      </c>
      <c r="X54" s="4" t="str">
        <f>IF(A54&lt;('2. Inputs and results'!$B$23+1),'2. Inputs and results'!$B$81*W53," ")</f>
        <v xml:space="preserve"> </v>
      </c>
      <c r="Y54" s="4">
        <f t="shared" si="2"/>
        <v>0</v>
      </c>
      <c r="Z54" s="4" t="e">
        <f>IF(A54&lt;('2. Inputs and results'!$B$23+1),Z53+(C54-$V$6+Y54)/((1+$P$2)^A54),NA())</f>
        <v>#N/A</v>
      </c>
      <c r="AA54" s="4" t="str">
        <f>IF(A54&lt;('2. Inputs and results'!$B$23+1),AA53+(G54+I54+H54+T54-$V$6)," ")</f>
        <v xml:space="preserve"> </v>
      </c>
      <c r="AB54" s="11" t="e">
        <f>IF(A54&lt;('2. Inputs and results'!$B$23+1),AA54/L54,NA())</f>
        <v>#N/A</v>
      </c>
      <c r="AC54" s="12" t="str">
        <f>IF(A54&lt;('2. Inputs and results'!$B$23+1),AC53+(C54+Y54-$V$6)," ")</f>
        <v xml:space="preserve"> </v>
      </c>
      <c r="AD54" s="11" t="e">
        <f>IF(A54&lt;('2. Inputs and results'!$B$23+1),AC54/L54,NA())</f>
        <v>#N/A</v>
      </c>
      <c r="AE54" t="str">
        <f>IF(A54&lt;('2. Inputs and results'!$B$23+1),-'2. Inputs and results'!$B$124*A54," ")</f>
        <v xml:space="preserve"> </v>
      </c>
      <c r="AF54" t="e">
        <f>IF(A54&lt;('2. Inputs and results'!$B$23+1),AE54/1000,NA())</f>
        <v>#N/A</v>
      </c>
    </row>
    <row r="55" spans="1:32">
      <c r="A55">
        <f t="shared" si="0"/>
        <v>50</v>
      </c>
      <c r="B55" t="str">
        <f>IF(A55&lt;('2. Inputs and results'!$B$23+1),A55," ")</f>
        <v xml:space="preserve"> </v>
      </c>
      <c r="C55" s="4" t="str">
        <f>IF(A55&lt;('2. Inputs and results'!$B$23+1),'2. Inputs and results'!$B$101+'2. Inputs and results'!$B$103," ")</f>
        <v xml:space="preserve"> </v>
      </c>
      <c r="D55" s="4" t="e">
        <f>IF(A55&lt;('2. Inputs and results'!$B$23+1),D54+C55,NA())</f>
        <v>#N/A</v>
      </c>
      <c r="E55" s="4" t="str">
        <f>IF(B55&lt;('2. Inputs and results'!$B$23+1),C55/((1+$P$2)^A55)," ")</f>
        <v xml:space="preserve"> </v>
      </c>
      <c r="F55" s="4" t="str">
        <f>IF(A55&lt;('2. Inputs and results'!$B$23+1),F54+E55," ")</f>
        <v xml:space="preserve"> </v>
      </c>
      <c r="G55" s="4" t="str">
        <f>IF(A55&lt;('2. Inputs and results'!$B$23+1),G54*(1+'2. Inputs and results'!$B$46)," ")</f>
        <v xml:space="preserve"> </v>
      </c>
      <c r="H55" s="4" t="str">
        <f>IF(A55&lt;('2. Inputs and results'!$B$23+1),H54*(1+'2. Inputs and results'!$B$58)," ")</f>
        <v xml:space="preserve"> </v>
      </c>
      <c r="I55" s="4" t="str">
        <f>IF(A55&lt;('2. Inputs and results'!$B$23+1),I54*(1+'2. Inputs and results'!$B$34)," ")</f>
        <v xml:space="preserve"> </v>
      </c>
      <c r="J55" s="4" t="str">
        <f>IF(A55&lt;('2. Inputs and results'!$B$23+1),J54*(1+'2. Inputs and results'!$B$68)," ")</f>
        <v xml:space="preserve"> </v>
      </c>
      <c r="K55" s="4" t="e">
        <f>IF('Solution 1, (hidden)'!A55&lt;('2. Inputs and results'!$B$23+1),K54+(G55+I55+H55+J55),NA())</f>
        <v>#N/A</v>
      </c>
      <c r="L55" s="4" t="e">
        <f>IF(A55&lt;('2. Inputs and results'!$B$23+1),L54,NA())</f>
        <v>#N/A</v>
      </c>
      <c r="M55" s="4" t="str">
        <f>IF(A55&lt;('2. Inputs and results'!$B$23+1),'2. Inputs and results'!$B$77*'2. Inputs and results'!$B$75," ")</f>
        <v xml:space="preserve"> </v>
      </c>
      <c r="N55" s="4" t="str">
        <f>IF(A55&lt;('2. Inputs and results'!$B$23+1),M55/((1+$P$2)^A55)," ")</f>
        <v xml:space="preserve"> </v>
      </c>
      <c r="O55" s="4" t="str">
        <f>IF(A55&lt;('2. Inputs and results'!$B$23+1),'2. Inputs and results'!$B$75*'2. Inputs and results'!$B$77+O54," ")</f>
        <v xml:space="preserve"> </v>
      </c>
      <c r="P55" s="4" t="str">
        <f>IF(A55&lt;('2. Inputs and results'!$B$23+1),(G55+I55+H55+J55)/((1+$P$2)^A55)," ")</f>
        <v xml:space="preserve"> </v>
      </c>
      <c r="Q55" s="4" t="str">
        <f>IF(A55&lt;('2. Inputs and results'!$B$23+1),Q54+P55," ")</f>
        <v xml:space="preserve"> </v>
      </c>
      <c r="R55" s="4" t="e">
        <f>IF(A55&lt;('2. Inputs and results'!$B$23+1),R54+G55+I55+J55+H55+T55-$V$6,NA())</f>
        <v>#N/A</v>
      </c>
      <c r="S55" s="4" t="str">
        <f>IF(A55&lt;('2. Inputs and results'!$B$23+1),'2. Inputs and results'!$B$81*(R54)," ")</f>
        <v xml:space="preserve"> </v>
      </c>
      <c r="T55" s="4">
        <f t="shared" si="1"/>
        <v>0</v>
      </c>
      <c r="U55" s="4" t="e">
        <f>IF(A55&lt;('2. Inputs and results'!$B$23+1),U54+(T55+I55+G55+H55+J55-$V$6)/((1+$P$2)^A55),NA())</f>
        <v>#N/A</v>
      </c>
      <c r="V55" s="4" t="str">
        <f>IF(A55&lt;('2. Inputs and results'!$B$23+1),V54+('2. Inputs and results'!$B$77*'2. Inputs and results'!$B$75)," ")</f>
        <v xml:space="preserve"> </v>
      </c>
      <c r="W55" s="4" t="e">
        <f>IF(A55&lt;('2. Inputs and results'!$B$23+1),W54+C55+Y55-$V$6,NA())</f>
        <v>#N/A</v>
      </c>
      <c r="X55" s="4" t="str">
        <f>IF(A55&lt;('2. Inputs and results'!$B$23+1),'2. Inputs and results'!$B$81*W54," ")</f>
        <v xml:space="preserve"> </v>
      </c>
      <c r="Y55" s="4">
        <f t="shared" si="2"/>
        <v>0</v>
      </c>
      <c r="Z55" s="4" t="e">
        <f>IF(A55&lt;('2. Inputs and results'!$B$23+1),Z54+(C55-$V$6+Y55)/((1+$P$2)^A55),NA())</f>
        <v>#N/A</v>
      </c>
      <c r="AA55" s="4" t="str">
        <f>IF(A55&lt;('2. Inputs and results'!$B$23+1),AA54+(G55+I55+H55+T55-$V$6)," ")</f>
        <v xml:space="preserve"> </v>
      </c>
      <c r="AB55" s="11" t="e">
        <f>IF(A55&lt;('2. Inputs and results'!$B$23+1),AA55/L55,NA())</f>
        <v>#N/A</v>
      </c>
      <c r="AC55" s="12" t="str">
        <f>IF(A55&lt;('2. Inputs and results'!$B$23+1),AC54+(C55+Y55-$V$6)," ")</f>
        <v xml:space="preserve"> </v>
      </c>
      <c r="AD55" s="11" t="e">
        <f>IF(A55&lt;('2. Inputs and results'!$B$23+1),AC55/L55,NA())</f>
        <v>#N/A</v>
      </c>
      <c r="AE55" t="str">
        <f>IF(A55&lt;('2. Inputs and results'!$B$23+1),-'2. Inputs and results'!$B$124*A55," ")</f>
        <v xml:space="preserve"> </v>
      </c>
      <c r="AF55" t="e">
        <f>IF(A55&lt;('2. Inputs and results'!$B$23+1),AE55/1000,NA())</f>
        <v>#N/A</v>
      </c>
    </row>
    <row r="56" spans="1:32">
      <c r="H56" s="4"/>
      <c r="J56" s="4"/>
      <c r="K56" s="4"/>
      <c r="P56" s="4"/>
    </row>
    <row r="57" spans="1:32">
      <c r="H57" s="4"/>
      <c r="K57" s="4"/>
    </row>
    <row r="58" spans="1:32">
      <c r="K58" s="4"/>
    </row>
    <row r="59" spans="1:32">
      <c r="K59" s="4"/>
    </row>
    <row r="60" spans="1:32">
      <c r="K60" s="4"/>
    </row>
  </sheetData>
  <sheetProtection sheet="1" objects="1" scenarios="1"/>
  <conditionalFormatting sqref="D5:D55">
    <cfRule type="expression" dxfId="5" priority="5">
      <formula>#N/A</formula>
    </cfRule>
    <cfRule type="cellIs" dxfId="4" priority="6" operator="equal">
      <formula>#N/A</formula>
    </cfRule>
  </conditionalFormatting>
  <pageMargins left="0.7" right="0.7" top="0.75" bottom="0.75" header="0.3" footer="0.3"/>
  <pageSetup paperSize="9" scale="51"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ul5">
    <pageSetUpPr fitToPage="1"/>
  </sheetPr>
  <dimension ref="A1:AF56"/>
  <sheetViews>
    <sheetView topLeftCell="U1" workbookViewId="0">
      <selection activeCell="V55" sqref="V55"/>
    </sheetView>
  </sheetViews>
  <sheetFormatPr defaultColWidth="9" defaultRowHeight="15"/>
  <cols>
    <col min="1" max="2" width="27.42578125" customWidth="1"/>
    <col min="3" max="3" width="36.5703125" customWidth="1"/>
    <col min="4" max="4" width="34.85546875" customWidth="1"/>
    <col min="5" max="5" width="37.5703125" customWidth="1"/>
    <col min="6" max="6" width="44.140625" customWidth="1"/>
    <col min="7" max="8" width="24.85546875" customWidth="1"/>
    <col min="9" max="10" width="26.42578125" customWidth="1"/>
    <col min="11" max="11" width="33.28515625" customWidth="1"/>
    <col min="12" max="14" width="19.5703125" customWidth="1"/>
    <col min="15" max="15" width="27.85546875" customWidth="1"/>
    <col min="16" max="16" width="32.140625" customWidth="1"/>
    <col min="17" max="17" width="21.7109375" customWidth="1"/>
    <col min="18" max="30" width="32.7109375" customWidth="1"/>
    <col min="31" max="31" width="17.5703125" customWidth="1"/>
  </cols>
  <sheetData>
    <row r="1" spans="1:32">
      <c r="K1" s="5"/>
      <c r="P1" s="6"/>
      <c r="S1" s="5"/>
      <c r="T1" s="5"/>
      <c r="U1" s="9"/>
      <c r="V1" s="5"/>
      <c r="Z1" s="7" t="s">
        <v>285</v>
      </c>
      <c r="AA1" s="7"/>
      <c r="AB1" s="7"/>
      <c r="AC1" s="7"/>
      <c r="AD1" s="7"/>
    </row>
    <row r="2" spans="1:32">
      <c r="O2" s="7" t="s">
        <v>250</v>
      </c>
      <c r="P2" s="8">
        <f>'2. Inputs and results'!C83</f>
        <v>0.04</v>
      </c>
      <c r="R2" s="9" t="s">
        <v>286</v>
      </c>
      <c r="S2" s="9"/>
      <c r="T2" s="9"/>
      <c r="U2" s="9"/>
      <c r="V2" s="9"/>
      <c r="W2" s="9" t="s">
        <v>286</v>
      </c>
      <c r="X2" s="9"/>
      <c r="Y2" s="9"/>
      <c r="Z2" s="9"/>
      <c r="AA2" s="9"/>
      <c r="AB2" s="9"/>
      <c r="AC2" s="9"/>
      <c r="AD2" s="9"/>
    </row>
    <row r="3" spans="1:32">
      <c r="G3" s="1" t="s">
        <v>287</v>
      </c>
      <c r="H3" s="1"/>
      <c r="I3" s="5"/>
      <c r="J3" s="5"/>
      <c r="K3" s="5"/>
      <c r="R3" s="9"/>
      <c r="S3" s="9"/>
      <c r="T3" s="9"/>
      <c r="V3" s="9"/>
      <c r="W3" s="9"/>
      <c r="X3" s="9"/>
      <c r="Y3" s="9"/>
      <c r="AA3" t="s">
        <v>249</v>
      </c>
      <c r="AB3" t="s">
        <v>249</v>
      </c>
      <c r="AC3" t="s">
        <v>249</v>
      </c>
      <c r="AD3" t="s">
        <v>249</v>
      </c>
      <c r="AE3" t="s">
        <v>254</v>
      </c>
    </row>
    <row r="4" spans="1:32">
      <c r="A4" t="s">
        <v>255</v>
      </c>
      <c r="C4" s="2" t="s">
        <v>256</v>
      </c>
      <c r="D4" s="2" t="s">
        <v>257</v>
      </c>
      <c r="E4" s="2" t="s">
        <v>288</v>
      </c>
      <c r="F4" s="2" t="s">
        <v>289</v>
      </c>
      <c r="G4" s="3" t="s">
        <v>260</v>
      </c>
      <c r="H4" s="3" t="s">
        <v>261</v>
      </c>
      <c r="I4" s="3" t="s">
        <v>262</v>
      </c>
      <c r="J4" s="3" t="s">
        <v>263</v>
      </c>
      <c r="K4" s="4" t="s">
        <v>290</v>
      </c>
      <c r="L4" s="4" t="s">
        <v>291</v>
      </c>
      <c r="M4" s="4" t="s">
        <v>266</v>
      </c>
      <c r="N4" s="4" t="s">
        <v>292</v>
      </c>
      <c r="O4" s="4" t="s">
        <v>268</v>
      </c>
      <c r="P4" s="4" t="s">
        <v>293</v>
      </c>
      <c r="Q4" s="4" t="s">
        <v>270</v>
      </c>
      <c r="R4" s="10" t="s">
        <v>294</v>
      </c>
      <c r="S4" s="10" t="s">
        <v>277</v>
      </c>
      <c r="T4" s="10" t="s">
        <v>273</v>
      </c>
      <c r="U4" s="10" t="s">
        <v>295</v>
      </c>
      <c r="V4" s="10" t="s">
        <v>266</v>
      </c>
      <c r="W4" s="2" t="s">
        <v>296</v>
      </c>
      <c r="X4" s="2" t="s">
        <v>277</v>
      </c>
      <c r="Y4" s="2" t="s">
        <v>273</v>
      </c>
      <c r="Z4" s="10" t="s">
        <v>297</v>
      </c>
      <c r="AA4" s="10" t="s">
        <v>298</v>
      </c>
      <c r="AB4" s="9" t="s">
        <v>299</v>
      </c>
      <c r="AC4" s="9" t="s">
        <v>300</v>
      </c>
      <c r="AD4" s="9" t="s">
        <v>301</v>
      </c>
      <c r="AE4" t="s">
        <v>283</v>
      </c>
      <c r="AF4" t="s">
        <v>284</v>
      </c>
    </row>
    <row r="5" spans="1:32">
      <c r="A5">
        <v>0</v>
      </c>
      <c r="B5">
        <f>IF(A5&lt;('2. Inputs and results'!$C$23+1),A5," ")</f>
        <v>0</v>
      </c>
      <c r="C5" s="4">
        <v>0</v>
      </c>
      <c r="D5" s="4">
        <f>C5</f>
        <v>0</v>
      </c>
      <c r="E5" s="4"/>
      <c r="F5" s="4"/>
      <c r="G5" s="4">
        <v>0</v>
      </c>
      <c r="H5" s="4">
        <v>0</v>
      </c>
      <c r="I5" s="4">
        <v>0</v>
      </c>
      <c r="J5" s="4">
        <v>0</v>
      </c>
      <c r="K5" s="4">
        <f>G5+I5+H5</f>
        <v>0</v>
      </c>
      <c r="L5" s="4">
        <f>'2. Inputs and results'!$C$75-('2. Inputs and results'!C79*'2. Inputs and results'!C75)</f>
        <v>595000</v>
      </c>
      <c r="M5" s="4"/>
      <c r="N5" s="4"/>
      <c r="O5" s="4"/>
      <c r="P5" s="4"/>
      <c r="Q5" s="4"/>
      <c r="R5" s="4">
        <f>-L5</f>
        <v>-595000</v>
      </c>
      <c r="S5" s="4"/>
      <c r="T5" s="4"/>
      <c r="U5" s="4">
        <f>R5</f>
        <v>-595000</v>
      </c>
      <c r="V5" s="4"/>
      <c r="W5" s="4">
        <f>-L5</f>
        <v>-595000</v>
      </c>
      <c r="X5" s="4"/>
      <c r="Y5" s="4"/>
      <c r="Z5" s="4">
        <f>W5</f>
        <v>-595000</v>
      </c>
      <c r="AA5" s="4">
        <f>G5+I5+H5+T5-$V$5</f>
        <v>0</v>
      </c>
      <c r="AB5" s="11">
        <f>IF(A5&lt;('2. Inputs and results'!$C$23+1),AA5/L5,NA())</f>
        <v>0</v>
      </c>
      <c r="AC5" s="12">
        <f>C5+Y5-$V$5</f>
        <v>0</v>
      </c>
      <c r="AD5" s="11">
        <f>IF(A5&lt;('2. Inputs and results'!$C$23+1),AC5/L5,NA())</f>
        <v>0</v>
      </c>
      <c r="AE5">
        <f>IF(A5&lt;('2. Inputs and results'!$C$23+1),-'2. Inputs and results'!$C$124*A5," ")</f>
        <v>0</v>
      </c>
      <c r="AF5">
        <f>IF(A5&lt;('2. Inputs and results'!$C$23+1),AE5/1000,NA())</f>
        <v>0</v>
      </c>
    </row>
    <row r="6" spans="1:32">
      <c r="A6">
        <f>A5+1</f>
        <v>1</v>
      </c>
      <c r="B6">
        <f>IF(A6&lt;('2. Inputs and results'!$C$23+1),A6," ")</f>
        <v>1</v>
      </c>
      <c r="C6" s="4">
        <f>IF(A6&lt;('2. Inputs and results'!$C$23+1),'2. Inputs and results'!$C$101+'2. Inputs and results'!$C$103," ")</f>
        <v>57300</v>
      </c>
      <c r="D6" s="4">
        <f>C6</f>
        <v>57300</v>
      </c>
      <c r="E6" s="4">
        <f>IF(A6&lt;('2. Inputs and results'!$C$23+1),C6/((1+$P$2)^A6)," ")</f>
        <v>55096.153846153844</v>
      </c>
      <c r="F6" s="4">
        <f>E6</f>
        <v>55096.153846153844</v>
      </c>
      <c r="G6" s="4">
        <f>'2. Inputs and results'!C95</f>
        <v>58500</v>
      </c>
      <c r="H6" s="4">
        <f>'2. Inputs and results'!C99</f>
        <v>0</v>
      </c>
      <c r="I6" s="4">
        <f>'2. Inputs and results'!C97</f>
        <v>-1200</v>
      </c>
      <c r="J6" s="4">
        <f>'2. Inputs and results'!$C$103</f>
        <v>0</v>
      </c>
      <c r="K6" s="4">
        <f>G6+I6+H6+J6</f>
        <v>57300</v>
      </c>
      <c r="L6" s="4">
        <f>'2. Inputs and results'!$C$75-('2. Inputs and results'!C79*'2. Inputs and results'!C75)</f>
        <v>595000</v>
      </c>
      <c r="M6" s="4">
        <f>IF(A6&lt;('2. Inputs and results'!$C$23+1),'2. Inputs and results'!$C$77*'2. Inputs and results'!$C$75," ")</f>
        <v>7000</v>
      </c>
      <c r="N6" s="4">
        <f>IF(A6&lt;('2. Inputs and results'!$C$23+1),M6/((1+$P$2)^A6)," ")</f>
        <v>6730.7692307692305</v>
      </c>
      <c r="O6" s="4">
        <f>L6</f>
        <v>595000</v>
      </c>
      <c r="P6" s="4">
        <f>IF(A6&lt;('2. Inputs and results'!$C$23+1),(G6+I6+H6+J6)/((1+$P$2)^A6)," ")</f>
        <v>55096.153846153844</v>
      </c>
      <c r="Q6" s="4">
        <f>P6</f>
        <v>55096.153846153844</v>
      </c>
      <c r="R6" s="4">
        <f>-L6+G6+I6+H6+J6+T6-$V$6</f>
        <v>-556600</v>
      </c>
      <c r="S6" s="4">
        <f>IF(A6&lt;('2. Inputs and results'!$C$23+1),'2. Inputs and results'!$C$81*(R5)," ")</f>
        <v>-11900</v>
      </c>
      <c r="T6" s="4">
        <f>IF(S6&lt;0,S6,0)</f>
        <v>-11900</v>
      </c>
      <c r="U6" s="4">
        <f>IF(A6&lt;('2. Inputs and results'!$C$23+1),U5+((G6+I6+H6+J6-$V$6+T6)/((1+$P$2)^A6)),NA())</f>
        <v>-558076.92307692312</v>
      </c>
      <c r="V6" s="4">
        <f>'2. Inputs and results'!$C$77*'2. Inputs and results'!$C$75</f>
        <v>7000</v>
      </c>
      <c r="W6" s="4">
        <f>-L6+C6+Y6-$V$6</f>
        <v>-556600</v>
      </c>
      <c r="X6" s="4">
        <f>IF(A6&lt;('2. Inputs and results'!$C$23+1),'2. Inputs and results'!$C$81*(W5)," ")</f>
        <v>-11900</v>
      </c>
      <c r="Y6" s="4">
        <f>IF(X6&lt;0,X6,0)</f>
        <v>-11900</v>
      </c>
      <c r="Z6" s="4">
        <f>IF(A6&lt;('2. Inputs and results'!$C$23+1),Z5+((C6-$V$6+Y6)/((1+$P$2)^A6)),NA())</f>
        <v>-558076.92307692312</v>
      </c>
      <c r="AA6" s="4">
        <f>IF(A6&lt;('2. Inputs and results'!$C$23+1),AA5+G6+I6+H6+T6-$V$6," ")</f>
        <v>38400</v>
      </c>
      <c r="AB6" s="11">
        <f>IF(A6&lt;('2. Inputs and results'!$C$23+1),AA6/L6,NA())</f>
        <v>6.4537815126050418E-2</v>
      </c>
      <c r="AC6" s="12">
        <f>IF(A6&lt;('2. Inputs and results'!$C$23+1),AC5+C6+Y6-$V$6," ")</f>
        <v>38400</v>
      </c>
      <c r="AD6" s="11">
        <f>IF(A6&lt;('2. Inputs and results'!$C$23+1),AC6/L6,NA())</f>
        <v>6.4537815126050418E-2</v>
      </c>
      <c r="AE6">
        <f>IF(A6&lt;('2. Inputs and results'!$C$23+1),-'2. Inputs and results'!$C$124*A6," ")</f>
        <v>-102000</v>
      </c>
      <c r="AF6">
        <f>IF(A6&lt;('2. Inputs and results'!$C$23+1),AE6/1000,NA())</f>
        <v>-102</v>
      </c>
    </row>
    <row r="7" spans="1:32">
      <c r="A7">
        <f t="shared" ref="A7:A55" si="0">A6+1</f>
        <v>2</v>
      </c>
      <c r="B7">
        <f>IF(A7&lt;('2. Inputs and results'!$C$23+1),A7," ")</f>
        <v>2</v>
      </c>
      <c r="C7" s="4">
        <f>IF(A7&lt;('2. Inputs and results'!$C$23+1),'2. Inputs and results'!$C$101+'2. Inputs and results'!$C$103," ")</f>
        <v>57300</v>
      </c>
      <c r="D7" s="4">
        <f>IF(A7&lt;('2. Inputs and results'!$C$23+1),D6+C7,NA())</f>
        <v>114600</v>
      </c>
      <c r="E7" s="4">
        <f>IF(A7&lt;('2. Inputs and results'!$C$23+1),C7/((1+$P$2)^A7)," ")</f>
        <v>52977.071005917154</v>
      </c>
      <c r="F7" s="4">
        <f>IF(B7&lt;('2. Inputs and results'!$C$23+1),F6+E7," ")</f>
        <v>108073.224852071</v>
      </c>
      <c r="G7" s="4">
        <f>IF(A7&lt;('2. Inputs and results'!$C$23+1),G6*(1+'2. Inputs and results'!$C$46)," ")</f>
        <v>60255</v>
      </c>
      <c r="H7" s="4">
        <f>IF(A7&lt;('2. Inputs and results'!$C$23+1),H6*(1+'2. Inputs and results'!$C$58)," ")</f>
        <v>0</v>
      </c>
      <c r="I7" s="4">
        <f>IF(A7&lt;('2. Inputs and results'!$C$23+1),I6*(1+'2. Inputs and results'!$C$34)," ")</f>
        <v>-1236</v>
      </c>
      <c r="J7" s="4">
        <f>IF(A7&lt;('2. Inputs and results'!$C$23+1),J6*(1+'2. Inputs and results'!$C$68)," ")</f>
        <v>0</v>
      </c>
      <c r="K7" s="4">
        <f>IF(A7&lt;('2. Inputs and results'!$C$23+1),K6+(G7+I7+H7+J7),NA())</f>
        <v>116319</v>
      </c>
      <c r="L7" s="4">
        <f>IF(A7&lt;('2. Inputs and results'!$C$23+1),L6,NA())</f>
        <v>595000</v>
      </c>
      <c r="M7" s="4">
        <f>IF(A7&lt;('2. Inputs and results'!$C$23+1),'2. Inputs and results'!$C$77*'2. Inputs and results'!$C$75," ")</f>
        <v>7000</v>
      </c>
      <c r="N7" s="4">
        <f>IF(A7&lt;('2. Inputs and results'!$C$23+1),M7/((1+$P$2)^A7)," ")</f>
        <v>6471.8934911242595</v>
      </c>
      <c r="O7" s="4">
        <f>IF(A7&lt;('2. Inputs and results'!$C$23+1),'2. Inputs and results'!$C$75*'2. Inputs and results'!$C$77+O6," ")</f>
        <v>602000</v>
      </c>
      <c r="P7" s="4">
        <f>IF(A7&lt;('2. Inputs and results'!$C$23+1),(G7+I7+H7+J7)/((1+$P$2)^A7)," ")</f>
        <v>54566.383136094671</v>
      </c>
      <c r="Q7" s="4">
        <f>IF(A7&lt;('2. Inputs and results'!$C$23+1),Q6+P7," ")</f>
        <v>109662.53698224851</v>
      </c>
      <c r="R7" s="4">
        <f>IF(A7&lt;('2. Inputs and results'!$C$23+1),R6+G7+I7+H7+J7+T7-$V$6,NA())</f>
        <v>-515713</v>
      </c>
      <c r="S7" s="4">
        <f>IF(A7&lt;('2. Inputs and results'!$C$23+1),'2. Inputs and results'!$C$81*(R6)," ")</f>
        <v>-11132</v>
      </c>
      <c r="T7" s="4">
        <f t="shared" ref="T7:T55" si="1">IF(S7&lt;0,S7,0)</f>
        <v>-11132</v>
      </c>
      <c r="U7" s="4">
        <f>IF(A7&lt;('2. Inputs and results'!$C$23+1),U6+((G7+I7+H7+J7-$V$6+T7)/((1+$P$2)^A7)),NA())</f>
        <v>-520274.59319526632</v>
      </c>
      <c r="V7" s="4">
        <f>IF(A7&lt;('2. Inputs and results'!$C$23+1),V6+('2. Inputs and results'!$C$77*'2. Inputs and results'!$C$75)," ")</f>
        <v>14000</v>
      </c>
      <c r="W7" s="4">
        <f>IF(A7&lt;('2. Inputs and results'!$C$23+1),W6+C7+Y7-$V$6,NA())</f>
        <v>-517432</v>
      </c>
      <c r="X7" s="4">
        <f>IF(A7&lt;('2. Inputs and results'!$C$23+1),'2. Inputs and results'!$C$81*(W6)," ")</f>
        <v>-11132</v>
      </c>
      <c r="Y7" s="4">
        <f t="shared" ref="Y7:Y55" si="2">IF(X7&lt;0,X7,0)</f>
        <v>-11132</v>
      </c>
      <c r="Z7" s="4">
        <f>IF(A7&lt;('2. Inputs and results'!$C$23+1),Z6+((C7-$V$6+Y7)/((1+$P$2)^A7)),NA())</f>
        <v>-521863.90532544383</v>
      </c>
      <c r="AA7" s="4">
        <f>IF(A7&lt;('2. Inputs and results'!$C$23+1),AA6+G7+I7+H7+T7-$V$6," ")</f>
        <v>79287</v>
      </c>
      <c r="AB7" s="11">
        <f>IF(A7&lt;('2. Inputs and results'!$C$23+1),AA7/L7,NA())</f>
        <v>0.13325546218487394</v>
      </c>
      <c r="AC7" s="12">
        <f>IF(A7&lt;('2. Inputs and results'!$C$23+1),AC6+C7+Y7-$V$6," ")</f>
        <v>77568</v>
      </c>
      <c r="AD7" s="11">
        <f>IF(A7&lt;('2. Inputs and results'!$C$23+1),AC7/L7,NA())</f>
        <v>0.13036638655462185</v>
      </c>
      <c r="AE7">
        <f>IF(A7&lt;('2. Inputs and results'!$C$23+1),-'2. Inputs and results'!$C$124*A7," ")</f>
        <v>-204000</v>
      </c>
      <c r="AF7">
        <f>IF(A7&lt;('2. Inputs and results'!$C$23+1),AE7/1000,NA())</f>
        <v>-204</v>
      </c>
    </row>
    <row r="8" spans="1:32">
      <c r="A8">
        <f t="shared" si="0"/>
        <v>3</v>
      </c>
      <c r="B8">
        <f>IF(A8&lt;('2. Inputs and results'!$C$23+1),A8," ")</f>
        <v>3</v>
      </c>
      <c r="C8" s="4">
        <f>IF(A8&lt;('2. Inputs and results'!$C$23+1),'2. Inputs and results'!$C$101+'2. Inputs and results'!$C$103," ")</f>
        <v>57300</v>
      </c>
      <c r="D8" s="4">
        <f>IF(A8&lt;('2. Inputs and results'!$C$23+1),D7+C8,NA())</f>
        <v>171900</v>
      </c>
      <c r="E8" s="4">
        <f>IF(A8&lt;('2. Inputs and results'!$C$23+1),C8/((1+$P$2)^A8)," ")</f>
        <v>50939.491351843419</v>
      </c>
      <c r="F8" s="4">
        <f>IF(B8&lt;('2. Inputs and results'!$C$23+1),F7+E8," ")</f>
        <v>159012.71620391443</v>
      </c>
      <c r="G8" s="4">
        <f>IF(A8&lt;('2. Inputs and results'!$C$23+1),G7*(1+'2. Inputs and results'!$C$46)," ")</f>
        <v>62062.65</v>
      </c>
      <c r="H8" s="4">
        <f>IF(A8&lt;('2. Inputs and results'!$C$23+1),H7*(1+'2. Inputs and results'!$C$58)," ")</f>
        <v>0</v>
      </c>
      <c r="I8" s="4">
        <f>IF(A8&lt;('2. Inputs and results'!$C$23+1),I7*(1+'2. Inputs and results'!$C$34)," ")</f>
        <v>-1273.08</v>
      </c>
      <c r="J8" s="4">
        <f>IF(A8&lt;('2. Inputs and results'!$C$23+1),J7*(1+'2. Inputs and results'!$C$68)," ")</f>
        <v>0</v>
      </c>
      <c r="K8" s="4">
        <f>IF(A8&lt;('2. Inputs and results'!$C$23+1),K7+(G8+I8+H8+J8),NA())</f>
        <v>177108.57</v>
      </c>
      <c r="L8" s="4">
        <f>IF(A8&lt;('2. Inputs and results'!$C$23+1),L7,NA())</f>
        <v>595000</v>
      </c>
      <c r="M8" s="4">
        <f>IF(A8&lt;('2. Inputs and results'!$C$23+1),'2. Inputs and results'!$C$77*'2. Inputs and results'!$C$75," ")</f>
        <v>7000</v>
      </c>
      <c r="N8" s="4">
        <f>IF(A8&lt;('2. Inputs and results'!$C$23+1),M8/((1+$P$2)^A8)," ")</f>
        <v>6222.9745106964037</v>
      </c>
      <c r="O8" s="4">
        <f>IF(A8&lt;('2. Inputs and results'!$C$23+1),'2. Inputs and results'!$C$75*'2. Inputs and results'!$C$77+O7," ")</f>
        <v>609000</v>
      </c>
      <c r="P8" s="4">
        <f>IF(A8&lt;('2. Inputs and results'!$C$23+1),(G8+I8+H8+J8)/((1+$P$2)^A8)," ")</f>
        <v>54041.706375170681</v>
      </c>
      <c r="Q8" s="4">
        <f>IF(A8&lt;('2. Inputs and results'!$C$23+1),Q7+P8," ")</f>
        <v>163704.24335741918</v>
      </c>
      <c r="R8" s="4">
        <f>IF(A8&lt;('2. Inputs and results'!$C$23+1),R7+G8+I8+H8+J8+T8-$V$6,NA())</f>
        <v>-472237.69</v>
      </c>
      <c r="S8" s="4">
        <f>IF(A8&lt;('2. Inputs and results'!$C$23+1),'2. Inputs and results'!$C$81*(R7)," ")</f>
        <v>-10314.26</v>
      </c>
      <c r="T8" s="4">
        <f t="shared" si="1"/>
        <v>-10314.26</v>
      </c>
      <c r="U8" s="4">
        <f>IF(A8&lt;('2. Inputs and results'!$C$23+1),U7+((G8+I8+H8+J8-$V$6+T8)/((1+$P$2)^A8)),NA())</f>
        <v>-481625.2009131771</v>
      </c>
      <c r="V8" s="4">
        <f>IF(A8&lt;('2. Inputs and results'!$C$23+1),V7+('2. Inputs and results'!$C$77*'2. Inputs and results'!$C$75)," ")</f>
        <v>21000</v>
      </c>
      <c r="W8" s="4">
        <f>IF(A8&lt;('2. Inputs and results'!$C$23+1),W7+C8+Y8-$V$6,NA())</f>
        <v>-477480.64</v>
      </c>
      <c r="X8" s="4">
        <f>IF(A8&lt;('2. Inputs and results'!$C$23+1),'2. Inputs and results'!$C$81*(W7)," ")</f>
        <v>-10348.64</v>
      </c>
      <c r="Y8" s="4">
        <f t="shared" si="2"/>
        <v>-10348.64</v>
      </c>
      <c r="Z8" s="4">
        <f>IF(A8&lt;('2. Inputs and results'!$C$23+1),Z7+((C8-$V$6+Y8)/((1+$P$2)^A8)),NA())</f>
        <v>-486347.29176149296</v>
      </c>
      <c r="AA8" s="4">
        <f>IF(A8&lt;('2. Inputs and results'!$C$23+1),AA7+G8+I8+H8+T8-$V$6," ")</f>
        <v>122762.31000000001</v>
      </c>
      <c r="AB8" s="11">
        <f>IF(A8&lt;('2. Inputs and results'!$C$23+1),AA8/L8,NA())</f>
        <v>0.20632321008403362</v>
      </c>
      <c r="AC8" s="12">
        <f>IF(A8&lt;('2. Inputs and results'!$C$23+1),AC7+C8+Y8-$V$6," ")</f>
        <v>117519.36</v>
      </c>
      <c r="AD8" s="11">
        <f>IF(A8&lt;('2. Inputs and results'!$C$23+1),AC8/L8,NA())</f>
        <v>0.1975115294117647</v>
      </c>
      <c r="AE8">
        <f>IF(A8&lt;('2. Inputs and results'!$C$23+1),-'2. Inputs and results'!$C$124*A8," ")</f>
        <v>-306000</v>
      </c>
      <c r="AF8">
        <f>IF(A8&lt;('2. Inputs and results'!$C$23+1),AE8/1000,NA())</f>
        <v>-306</v>
      </c>
    </row>
    <row r="9" spans="1:32">
      <c r="A9">
        <f t="shared" si="0"/>
        <v>4</v>
      </c>
      <c r="B9">
        <f>IF(A9&lt;('2. Inputs and results'!$C$23+1),A9," ")</f>
        <v>4</v>
      </c>
      <c r="C9" s="4">
        <f>IF(A9&lt;('2. Inputs and results'!$C$23+1),'2. Inputs and results'!$C$101+'2. Inputs and results'!$C$103," ")</f>
        <v>57300</v>
      </c>
      <c r="D9" s="4">
        <f>IF(A9&lt;('2. Inputs and results'!$C$23+1),D8+C9,NA())</f>
        <v>229200</v>
      </c>
      <c r="E9" s="4">
        <f>IF(A9&lt;('2. Inputs and results'!$C$23+1),C9/((1+$P$2)^A9)," ")</f>
        <v>48980.280146003279</v>
      </c>
      <c r="F9" s="4">
        <f>IF(B9&lt;('2. Inputs and results'!$C$23+1),F8+E9," ")</f>
        <v>207992.99634991772</v>
      </c>
      <c r="G9" s="4">
        <f>IF(A9&lt;('2. Inputs and results'!$C$23+1),G8*(1+'2. Inputs and results'!$C$46)," ")</f>
        <v>63924.529500000004</v>
      </c>
      <c r="H9" s="4">
        <f>IF(A9&lt;('2. Inputs and results'!$C$23+1),H8*(1+'2. Inputs and results'!$C$58)," ")</f>
        <v>0</v>
      </c>
      <c r="I9" s="4">
        <f>IF(A9&lt;('2. Inputs and results'!$C$23+1),I8*(1+'2. Inputs and results'!$C$34)," ")</f>
        <v>-1311.2724000000001</v>
      </c>
      <c r="J9" s="4">
        <f>IF(A9&lt;('2. Inputs and results'!$C$23+1),J8*(1+'2. Inputs and results'!$C$68)," ")</f>
        <v>0</v>
      </c>
      <c r="K9" s="4">
        <f>IF(A9&lt;('2. Inputs and results'!$C$23+1),K8+(G9+I9+H9+J9),NA())</f>
        <v>239721.82709999999</v>
      </c>
      <c r="L9" s="4">
        <f>IF(A9&lt;('2. Inputs and results'!$C$23+1),L8,NA())</f>
        <v>595000</v>
      </c>
      <c r="M9" s="4">
        <f>IF(A9&lt;('2. Inputs and results'!$C$23+1),'2. Inputs and results'!$C$77*'2. Inputs and results'!$C$75," ")</f>
        <v>7000</v>
      </c>
      <c r="N9" s="4">
        <f>IF(A9&lt;('2. Inputs and results'!$C$23+1),M9/((1+$P$2)^A9)," ")</f>
        <v>5983.62933720808</v>
      </c>
      <c r="O9" s="4">
        <f>IF(A9&lt;('2. Inputs and results'!$C$23+1),'2. Inputs and results'!$C$75*'2. Inputs and results'!$C$77+O8," ")</f>
        <v>616000</v>
      </c>
      <c r="P9" s="4">
        <f>IF(A9&lt;('2. Inputs and results'!$C$23+1),(G9+I9+H9+J9)/((1+$P$2)^A9)," ")</f>
        <v>53522.074583101734</v>
      </c>
      <c r="Q9" s="4">
        <f>IF(A9&lt;('2. Inputs and results'!$C$23+1),Q8+P9," ")</f>
        <v>217226.31794052091</v>
      </c>
      <c r="R9" s="4">
        <f>IF(A9&lt;('2. Inputs and results'!$C$23+1),R8+G9+I9+H9+J9+T9-$V$6,NA())</f>
        <v>-426069.18670000002</v>
      </c>
      <c r="S9" s="4">
        <f>IF(A9&lt;('2. Inputs and results'!$C$23+1),'2. Inputs and results'!$C$81*(R8)," ")</f>
        <v>-9444.7538000000004</v>
      </c>
      <c r="T9" s="4">
        <f t="shared" si="1"/>
        <v>-9444.7538000000004</v>
      </c>
      <c r="U9" s="4">
        <f>IF(A9&lt;('2. Inputs and results'!$C$23+1),U8+((G9+I9+H9+J9-$V$6+T9)/((1+$P$2)^A9)),NA())</f>
        <v>-442160.17079876736</v>
      </c>
      <c r="V9" s="4">
        <f>IF(A9&lt;('2. Inputs and results'!$C$23+1),V8+('2. Inputs and results'!$C$77*'2. Inputs and results'!$C$75)," ")</f>
        <v>28000</v>
      </c>
      <c r="W9" s="4">
        <f>IF(A9&lt;('2. Inputs and results'!$C$23+1),W8+C9+Y9-$V$6,NA())</f>
        <v>-436730.25280000002</v>
      </c>
      <c r="X9" s="4">
        <f>IF(A9&lt;('2. Inputs and results'!$C$23+1),'2. Inputs and results'!$C$81*(W8)," ")</f>
        <v>-9549.6128000000008</v>
      </c>
      <c r="Y9" s="4">
        <f t="shared" si="2"/>
        <v>-9549.6128000000008</v>
      </c>
      <c r="Z9" s="4">
        <f>IF(A9&lt;('2. Inputs and results'!$C$23+1),Z8+((C9-$V$6+Y9)/((1+$P$2)^A9)),NA())</f>
        <v>-451513.68999684887</v>
      </c>
      <c r="AA9" s="4">
        <f>IF(A9&lt;('2. Inputs and results'!$C$23+1),AA8+G9+I9+H9+T9-$V$6," ")</f>
        <v>168930.81330000001</v>
      </c>
      <c r="AB9" s="11">
        <f>IF(A9&lt;('2. Inputs and results'!$C$23+1),AA9/L9,NA())</f>
        <v>0.28391733327731095</v>
      </c>
      <c r="AC9" s="12">
        <f>IF(A9&lt;('2. Inputs and results'!$C$23+1),AC8+C9+Y9-$V$6," ")</f>
        <v>158269.74719999998</v>
      </c>
      <c r="AD9" s="11">
        <f>IF(A9&lt;('2. Inputs and results'!$C$23+1),AC9/L9,NA())</f>
        <v>0.26599957512605038</v>
      </c>
      <c r="AE9">
        <f>IF(A9&lt;('2. Inputs and results'!$C$23+1),-'2. Inputs and results'!$C$124*A9," ")</f>
        <v>-408000</v>
      </c>
      <c r="AF9">
        <f>IF(A9&lt;('2. Inputs and results'!$C$23+1),AE9/1000,NA())</f>
        <v>-408</v>
      </c>
    </row>
    <row r="10" spans="1:32">
      <c r="A10">
        <f t="shared" si="0"/>
        <v>5</v>
      </c>
      <c r="B10">
        <f>IF(A10&lt;('2. Inputs and results'!$C$23+1),A10," ")</f>
        <v>5</v>
      </c>
      <c r="C10" s="4">
        <f>IF(A10&lt;('2. Inputs and results'!$C$23+1),'2. Inputs and results'!$C$101+'2. Inputs and results'!$C$103," ")</f>
        <v>57300</v>
      </c>
      <c r="D10" s="4">
        <f>IF(A10&lt;('2. Inputs and results'!$C$23+1),D9+C10,NA())</f>
        <v>286500</v>
      </c>
      <c r="E10" s="4">
        <f>IF(A10&lt;('2. Inputs and results'!$C$23+1),C10/((1+$P$2)^A10)," ")</f>
        <v>47096.423217310847</v>
      </c>
      <c r="F10" s="4">
        <f>IF(B10&lt;('2. Inputs and results'!$C$23+1),F9+E10," ")</f>
        <v>255089.41956722859</v>
      </c>
      <c r="G10" s="4">
        <f>IF(A10&lt;('2. Inputs and results'!$C$23+1),G9*(1+'2. Inputs and results'!$C$46)," ")</f>
        <v>65842.265385000006</v>
      </c>
      <c r="H10" s="4">
        <f>IF(A10&lt;('2. Inputs and results'!$C$23+1),H9*(1+'2. Inputs and results'!$C$58)," ")</f>
        <v>0</v>
      </c>
      <c r="I10" s="4">
        <f>IF(A10&lt;('2. Inputs and results'!$C$23+1),I9*(1+'2. Inputs and results'!$C$34)," ")</f>
        <v>-1350.610572</v>
      </c>
      <c r="J10" s="4">
        <f>IF(A10&lt;('2. Inputs and results'!$C$23+1),J9*(1+'2. Inputs and results'!$C$68)," ")</f>
        <v>0</v>
      </c>
      <c r="K10" s="4">
        <f>IF(A10&lt;('2. Inputs and results'!$C$23+1),K9+(G10+I10+H10+J10),NA())</f>
        <v>304213.481913</v>
      </c>
      <c r="L10" s="4">
        <f>IF(A10&lt;('2. Inputs and results'!$C$23+1),L9,NA())</f>
        <v>595000</v>
      </c>
      <c r="M10" s="4">
        <f>IF(A10&lt;('2. Inputs and results'!$C$23+1),'2. Inputs and results'!$C$77*'2. Inputs and results'!$C$75," ")</f>
        <v>7000</v>
      </c>
      <c r="N10" s="4">
        <f>IF(A10&lt;('2. Inputs and results'!$C$23+1),M10/((1+$P$2)^A10)," ")</f>
        <v>5753.4897473154606</v>
      </c>
      <c r="O10" s="4">
        <f>IF(A10&lt;('2. Inputs and results'!$C$23+1),'2. Inputs and results'!$C$75*'2. Inputs and results'!$C$77+O9," ")</f>
        <v>623000</v>
      </c>
      <c r="P10" s="4">
        <f>IF(A10&lt;('2. Inputs and results'!$C$23+1),(G10+I10+H10+J10)/((1+$P$2)^A10)," ")</f>
        <v>53007.439250571908</v>
      </c>
      <c r="Q10" s="4">
        <f>IF(A10&lt;('2. Inputs and results'!$C$23+1),Q9+P10," ")</f>
        <v>270233.75719109282</v>
      </c>
      <c r="R10" s="4">
        <f>IF(A10&lt;('2. Inputs and results'!$C$23+1),R9+G10+I10+H10+J10+T10-$V$6,NA())</f>
        <v>-377098.91562099999</v>
      </c>
      <c r="S10" s="4">
        <f>IF(A10&lt;('2. Inputs and results'!$C$23+1),'2. Inputs and results'!$C$81*(R9)," ")</f>
        <v>-8521.3837340000009</v>
      </c>
      <c r="T10" s="4">
        <f t="shared" si="1"/>
        <v>-8521.3837340000009</v>
      </c>
      <c r="U10" s="4">
        <f>IF(A10&lt;('2. Inputs and results'!$C$23+1),U9+((G10+I10+H10+J10-$V$6+T10)/((1+$P$2)^A10)),NA())</f>
        <v>-401910.17757358373</v>
      </c>
      <c r="V10" s="4">
        <f>IF(A10&lt;('2. Inputs and results'!$C$23+1),V9+('2. Inputs and results'!$C$77*'2. Inputs and results'!$C$75)," ")</f>
        <v>35000</v>
      </c>
      <c r="W10" s="4">
        <f>IF(A10&lt;('2. Inputs and results'!$C$23+1),W9+C10+Y10-$V$6,NA())</f>
        <v>-395164.85785600002</v>
      </c>
      <c r="X10" s="4">
        <f>IF(A10&lt;('2. Inputs and results'!$C$23+1),'2. Inputs and results'!$C$81*(W9)," ")</f>
        <v>-8734.6050560000003</v>
      </c>
      <c r="Y10" s="4">
        <f t="shared" si="2"/>
        <v>-8734.6050560000003</v>
      </c>
      <c r="Z10" s="4">
        <f>IF(A10&lt;('2. Inputs and results'!$C$23+1),Z9+((C10-$V$6+Y10)/((1+$P$2)^A10)),NA())</f>
        <v>-417349.96518921718</v>
      </c>
      <c r="AA10" s="4">
        <f>IF(A10&lt;('2. Inputs and results'!$C$23+1),AA9+G10+I10+H10+T10-$V$6," ")</f>
        <v>217901.08437900001</v>
      </c>
      <c r="AB10" s="11">
        <f>IF(A10&lt;('2. Inputs and results'!$C$23+1),AA10/L10,NA())</f>
        <v>0.36622030988067228</v>
      </c>
      <c r="AC10" s="12">
        <f>IF(A10&lt;('2. Inputs and results'!$C$23+1),AC9+C10+Y10-$V$6," ")</f>
        <v>199835.14214399998</v>
      </c>
      <c r="AD10" s="11">
        <f>IF(A10&lt;('2. Inputs and results'!$C$23+1),AC10/L10,NA())</f>
        <v>0.33585738175462182</v>
      </c>
      <c r="AE10">
        <f>IF(A10&lt;('2. Inputs and results'!$C$23+1),-'2. Inputs and results'!$C$124*A10," ")</f>
        <v>-510000</v>
      </c>
      <c r="AF10">
        <f>IF(A10&lt;('2. Inputs and results'!$C$23+1),AE10/1000,NA())</f>
        <v>-510</v>
      </c>
    </row>
    <row r="11" spans="1:32">
      <c r="A11">
        <f t="shared" si="0"/>
        <v>6</v>
      </c>
      <c r="B11">
        <f>IF(A11&lt;('2. Inputs and results'!$C$23+1),A11," ")</f>
        <v>6</v>
      </c>
      <c r="C11" s="4">
        <f>IF(A11&lt;('2. Inputs and results'!$C$23+1),'2. Inputs and results'!$C$101+'2. Inputs and results'!$C$103," ")</f>
        <v>57300</v>
      </c>
      <c r="D11" s="4">
        <f>IF(A11&lt;('2. Inputs and results'!$C$23+1),D10+C11,NA())</f>
        <v>343800</v>
      </c>
      <c r="E11" s="4">
        <f>IF(A11&lt;('2. Inputs and results'!$C$23+1),C11/((1+$P$2)^A11)," ")</f>
        <v>45285.022324337348</v>
      </c>
      <c r="F11" s="4">
        <f>IF(B11&lt;('2. Inputs and results'!$C$23+1),F10+E11," ")</f>
        <v>300374.44189156592</v>
      </c>
      <c r="G11" s="4">
        <f>IF(A11&lt;('2. Inputs and results'!$C$23+1),G10*(1+'2. Inputs and results'!$C$46)," ")</f>
        <v>67817.533346550015</v>
      </c>
      <c r="H11" s="4">
        <f>IF(A11&lt;('2. Inputs and results'!$C$23+1),H10*(1+'2. Inputs and results'!$C$58)," ")</f>
        <v>0</v>
      </c>
      <c r="I11" s="4">
        <f>IF(A11&lt;('2. Inputs and results'!$C$23+1),I10*(1+'2. Inputs and results'!$C$34)," ")</f>
        <v>-1391.12888916</v>
      </c>
      <c r="J11" s="4">
        <f>IF(A11&lt;('2. Inputs and results'!$C$23+1),J10*(1+'2. Inputs and results'!$C$68)," ")</f>
        <v>0</v>
      </c>
      <c r="K11" s="4">
        <f>IF(A11&lt;('2. Inputs and results'!$C$23+1),K10+(G11+I11+H11+J11),NA())</f>
        <v>370639.88637039001</v>
      </c>
      <c r="L11" s="4">
        <f>IF(A11&lt;('2. Inputs and results'!$C$23+1),L10,NA())</f>
        <v>595000</v>
      </c>
      <c r="M11" s="4">
        <f>IF(A11&lt;('2. Inputs and results'!$C$23+1),'2. Inputs and results'!$C$77*'2. Inputs and results'!$C$75," ")</f>
        <v>7000</v>
      </c>
      <c r="N11" s="4">
        <f>IF(A11&lt;('2. Inputs and results'!$C$23+1),M11/((1+$P$2)^A11)," ")</f>
        <v>5532.2016801110203</v>
      </c>
      <c r="O11" s="4">
        <f>IF(A11&lt;('2. Inputs and results'!$C$23+1),'2. Inputs and results'!$C$75*'2. Inputs and results'!$C$77+O10," ")</f>
        <v>630000</v>
      </c>
      <c r="P11" s="4">
        <f>IF(A11&lt;('2. Inputs and results'!$C$23+1),(G11+I11+H11+J11)/((1+$P$2)^A11)," ")</f>
        <v>52497.752334701028</v>
      </c>
      <c r="Q11" s="4">
        <f>IF(A11&lt;('2. Inputs and results'!$C$23+1),Q10+P11," ")</f>
        <v>322731.50952579384</v>
      </c>
      <c r="R11" s="4">
        <f>IF(A11&lt;('2. Inputs and results'!$C$23+1),R10+G11+I11+H11+J11+T11-$V$6,NA())</f>
        <v>-325214.48947602999</v>
      </c>
      <c r="S11" s="4">
        <f>IF(A11&lt;('2. Inputs and results'!$C$23+1),'2. Inputs and results'!$C$81*(R10)," ")</f>
        <v>-7541.9783124200003</v>
      </c>
      <c r="T11" s="4">
        <f t="shared" si="1"/>
        <v>-7541.9783124200003</v>
      </c>
      <c r="U11" s="4">
        <f>IF(A11&lt;('2. Inputs and results'!$C$23+1),U10+((G11+I11+H11+J11-$V$6+T11)/((1+$P$2)^A11)),NA())</f>
        <v>-360905.161932041</v>
      </c>
      <c r="V11" s="4">
        <f>IF(A11&lt;('2. Inputs and results'!$C$23+1),V10+('2. Inputs and results'!$C$77*'2. Inputs and results'!$C$75)," ")</f>
        <v>42000</v>
      </c>
      <c r="W11" s="4">
        <f>IF(A11&lt;('2. Inputs and results'!$C$23+1),W10+C11+Y11-$V$6,NA())</f>
        <v>-352768.15501312003</v>
      </c>
      <c r="X11" s="4">
        <f>IF(A11&lt;('2. Inputs and results'!$C$23+1),'2. Inputs and results'!$C$81*(W10)," ")</f>
        <v>-7903.2971571200005</v>
      </c>
      <c r="Y11" s="4">
        <f t="shared" si="2"/>
        <v>-7903.2971571200005</v>
      </c>
      <c r="Z11" s="4">
        <f>IF(A11&lt;('2. Inputs and results'!$C$23+1),Z10+((C11-$V$6+Y11)/((1+$P$2)^A11)),NA())</f>
        <v>-383843.23508942453</v>
      </c>
      <c r="AA11" s="4">
        <f>IF(A11&lt;('2. Inputs and results'!$C$23+1),AA10+G11+I11+H11+T11-$V$6," ")</f>
        <v>269785.51052397001</v>
      </c>
      <c r="AB11" s="11">
        <f>IF(A11&lt;('2. Inputs and results'!$C$23+1),AA11/L11,NA())</f>
        <v>0.45342102609070589</v>
      </c>
      <c r="AC11" s="12">
        <f>IF(A11&lt;('2. Inputs and results'!$C$23+1),AC10+C11+Y11-$V$6," ")</f>
        <v>242231.84498687999</v>
      </c>
      <c r="AD11" s="11">
        <f>IF(A11&lt;('2. Inputs and results'!$C$23+1),AC11/L11,NA())</f>
        <v>0.40711234451576472</v>
      </c>
      <c r="AE11">
        <f>IF(A11&lt;('2. Inputs and results'!$C$23+1),-'2. Inputs and results'!$C$124*A11," ")</f>
        <v>-612000</v>
      </c>
      <c r="AF11">
        <f>IF(A11&lt;('2. Inputs and results'!$C$23+1),AE11/1000,NA())</f>
        <v>-612</v>
      </c>
    </row>
    <row r="12" spans="1:32">
      <c r="A12">
        <f t="shared" si="0"/>
        <v>7</v>
      </c>
      <c r="B12">
        <f>IF(A12&lt;('2. Inputs and results'!$C$23+1),A12," ")</f>
        <v>7</v>
      </c>
      <c r="C12" s="4">
        <f>IF(A12&lt;('2. Inputs and results'!$C$23+1),'2. Inputs and results'!$C$101+'2. Inputs and results'!$C$103," ")</f>
        <v>57300</v>
      </c>
      <c r="D12" s="4">
        <f>IF(A12&lt;('2. Inputs and results'!$C$23+1),D11+C12,NA())</f>
        <v>401100</v>
      </c>
      <c r="E12" s="4">
        <f>IF(A12&lt;('2. Inputs and results'!$C$23+1),C12/((1+$P$2)^A12)," ")</f>
        <v>43543.290696478223</v>
      </c>
      <c r="F12" s="4">
        <f>IF(B12&lt;('2. Inputs and results'!$C$23+1),F11+E12," ")</f>
        <v>343917.73258804413</v>
      </c>
      <c r="G12" s="4">
        <f>IF(A12&lt;('2. Inputs and results'!$C$23+1),G11*(1+'2. Inputs and results'!$C$46)," ")</f>
        <v>69852.059346946524</v>
      </c>
      <c r="H12" s="4">
        <f>IF(A12&lt;('2. Inputs and results'!$C$23+1),H11*(1+'2. Inputs and results'!$C$58)," ")</f>
        <v>0</v>
      </c>
      <c r="I12" s="4">
        <f>IF(A12&lt;('2. Inputs and results'!$C$23+1),I11*(1+'2. Inputs and results'!$C$34)," ")</f>
        <v>-1432.8627558348001</v>
      </c>
      <c r="J12" s="4">
        <f>IF(A12&lt;('2. Inputs and results'!$C$23+1),J11*(1+'2. Inputs and results'!$C$68)," ")</f>
        <v>0</v>
      </c>
      <c r="K12" s="4">
        <f>IF(A12&lt;('2. Inputs and results'!$C$23+1),K11+(G12+I12+H12+J12),NA())</f>
        <v>439059.08296150173</v>
      </c>
      <c r="L12" s="4">
        <f>IF(A12&lt;('2. Inputs and results'!$C$23+1),L11,NA())</f>
        <v>595000</v>
      </c>
      <c r="M12" s="4">
        <f>IF(A12&lt;('2. Inputs and results'!$C$23+1),'2. Inputs and results'!$C$77*'2. Inputs and results'!$C$75," ")</f>
        <v>7000</v>
      </c>
      <c r="N12" s="4">
        <f>IF(A12&lt;('2. Inputs and results'!$C$23+1),M12/((1+$P$2)^A12)," ")</f>
        <v>5319.4246924144427</v>
      </c>
      <c r="O12" s="4">
        <f>IF(A12&lt;('2. Inputs and results'!$C$23+1),'2. Inputs and results'!$C$75*'2. Inputs and results'!$C$77+O11," ")</f>
        <v>637000</v>
      </c>
      <c r="P12" s="4">
        <f>IF(A12&lt;('2. Inputs and results'!$C$23+1),(G12+I12+H12+J12)/((1+$P$2)^A12)," ")</f>
        <v>51992.966254559688</v>
      </c>
      <c r="Q12" s="4">
        <f>IF(A12&lt;('2. Inputs and results'!$C$23+1),Q11+P12," ")</f>
        <v>374724.47578035353</v>
      </c>
      <c r="R12" s="4">
        <f>IF(A12&lt;('2. Inputs and results'!$C$23+1),R11+G12+I12+H12+J12+T12-$V$6,NA())</f>
        <v>-270299.58267443883</v>
      </c>
      <c r="S12" s="4">
        <f>IF(A12&lt;('2. Inputs and results'!$C$23+1),'2. Inputs and results'!$C$81*(R11)," ")</f>
        <v>-6504.2897895205997</v>
      </c>
      <c r="T12" s="4">
        <f t="shared" si="1"/>
        <v>-6504.2897895205997</v>
      </c>
      <c r="U12" s="4">
        <f>IF(A12&lt;('2. Inputs and results'!$C$23+1),U11+((G12+I12+H12+J12-$V$6+T12)/((1+$P$2)^A12)),NA())</f>
        <v>-319174.34604318073</v>
      </c>
      <c r="V12" s="4">
        <f>IF(A12&lt;('2. Inputs and results'!$C$23+1),V11+('2. Inputs and results'!$C$77*'2. Inputs and results'!$C$75)," ")</f>
        <v>49000</v>
      </c>
      <c r="W12" s="4">
        <f>IF(A12&lt;('2. Inputs and results'!$C$23+1),W11+C12+Y12-$V$6,NA())</f>
        <v>-309523.51811338245</v>
      </c>
      <c r="X12" s="4">
        <f>IF(A12&lt;('2. Inputs and results'!$C$23+1),'2. Inputs and results'!$C$81*(W11)," ")</f>
        <v>-7055.3631002624006</v>
      </c>
      <c r="Y12" s="4">
        <f t="shared" si="2"/>
        <v>-7055.3631002624006</v>
      </c>
      <c r="Z12" s="4">
        <f>IF(A12&lt;('2. Inputs and results'!$C$23+1),Z11+((C12-$V$6+Y12)/((1+$P$2)^A12)),NA())</f>
        <v>-350980.86518385867</v>
      </c>
      <c r="AA12" s="4">
        <f>IF(A12&lt;('2. Inputs and results'!$C$23+1),AA11+G12+I12+H12+T12-$V$6," ")</f>
        <v>324700.41732556111</v>
      </c>
      <c r="AB12" s="11">
        <f>IF(A12&lt;('2. Inputs and results'!$C$23+1),AA12/L12,NA())</f>
        <v>0.54571498710178334</v>
      </c>
      <c r="AC12" s="12">
        <f>IF(A12&lt;('2. Inputs and results'!$C$23+1),AC11+C12+Y12-$V$6," ")</f>
        <v>285476.48188661755</v>
      </c>
      <c r="AD12" s="11">
        <f>IF(A12&lt;('2. Inputs and results'!$C$23+1),AC12/L12,NA())</f>
        <v>0.47979240653213034</v>
      </c>
      <c r="AE12">
        <f>IF(A12&lt;('2. Inputs and results'!$C$23+1),-'2. Inputs and results'!$C$124*A12," ")</f>
        <v>-714000</v>
      </c>
      <c r="AF12">
        <f>IF(A12&lt;('2. Inputs and results'!$C$23+1),AE12/1000,NA())</f>
        <v>-714</v>
      </c>
    </row>
    <row r="13" spans="1:32">
      <c r="A13">
        <f t="shared" si="0"/>
        <v>8</v>
      </c>
      <c r="B13">
        <f>IF(A13&lt;('2. Inputs and results'!$C$23+1),A13," ")</f>
        <v>8</v>
      </c>
      <c r="C13" s="4">
        <f>IF(A13&lt;('2. Inputs and results'!$C$23+1),'2. Inputs and results'!$C$101+'2. Inputs and results'!$C$103," ")</f>
        <v>57300</v>
      </c>
      <c r="D13" s="4">
        <f>IF(A13&lt;('2. Inputs and results'!$C$23+1),D12+C13,NA())</f>
        <v>458400</v>
      </c>
      <c r="E13" s="4">
        <f>IF(A13&lt;('2. Inputs and results'!$C$23+1),C13/((1+$P$2)^A13)," ")</f>
        <v>41868.548746613669</v>
      </c>
      <c r="F13" s="4">
        <f>IF(B13&lt;('2. Inputs and results'!$C$23+1),F12+E13," ")</f>
        <v>385786.2813346578</v>
      </c>
      <c r="G13" s="4">
        <f>IF(A13&lt;('2. Inputs and results'!$C$23+1),G12*(1+'2. Inputs and results'!$C$46)," ")</f>
        <v>71947.621127354927</v>
      </c>
      <c r="H13" s="4">
        <f>IF(A13&lt;('2. Inputs and results'!$C$23+1),H12*(1+'2. Inputs and results'!$C$58)," ")</f>
        <v>0</v>
      </c>
      <c r="I13" s="4">
        <f>IF(A13&lt;('2. Inputs and results'!$C$23+1),I12*(1+'2. Inputs and results'!$C$34)," ")</f>
        <v>-1475.848638509844</v>
      </c>
      <c r="J13" s="4">
        <f>IF(A13&lt;('2. Inputs and results'!$C$23+1),J12*(1+'2. Inputs and results'!$C$68)," ")</f>
        <v>0</v>
      </c>
      <c r="K13" s="4">
        <f>IF(A13&lt;('2. Inputs and results'!$C$23+1),K12+(G13+I13+H13+J13),NA())</f>
        <v>509530.85545034683</v>
      </c>
      <c r="L13" s="4">
        <f>IF(A13&lt;('2. Inputs and results'!$C$23+1),L12,NA())</f>
        <v>595000</v>
      </c>
      <c r="M13" s="4">
        <f>IF(A13&lt;('2. Inputs and results'!$C$23+1),'2. Inputs and results'!$C$77*'2. Inputs and results'!$C$75," ")</f>
        <v>7000</v>
      </c>
      <c r="N13" s="4">
        <f>IF(A13&lt;('2. Inputs and results'!$C$23+1),M13/((1+$P$2)^A13)," ")</f>
        <v>5114.8314350138862</v>
      </c>
      <c r="O13" s="4">
        <f>IF(A13&lt;('2. Inputs and results'!$C$23+1),'2. Inputs and results'!$C$75*'2. Inputs and results'!$C$77+O12," ")</f>
        <v>644000</v>
      </c>
      <c r="P13" s="4">
        <f>IF(A13&lt;('2. Inputs and results'!$C$23+1),(G13+I13+H13+J13)/((1+$P$2)^A13)," ")</f>
        <v>51493.033886727368</v>
      </c>
      <c r="Q13" s="4">
        <f>IF(A13&lt;('2. Inputs and results'!$C$23+1),Q12+P13," ")</f>
        <v>426217.50966708089</v>
      </c>
      <c r="R13" s="4">
        <f>IF(A13&lt;('2. Inputs and results'!$C$23+1),R12+G13+I13+H13+J13+T13-$V$6,NA())</f>
        <v>-212233.80183908253</v>
      </c>
      <c r="S13" s="4">
        <f>IF(A13&lt;('2. Inputs and results'!$C$23+1),'2. Inputs and results'!$C$81*(R12)," ")</f>
        <v>-5405.991653488777</v>
      </c>
      <c r="T13" s="4">
        <f t="shared" si="1"/>
        <v>-5405.991653488777</v>
      </c>
      <c r="U13" s="4">
        <f>IF(A13&lt;('2. Inputs and results'!$C$23+1),U12+((G13+I13+H13+J13-$V$6+T13)/((1+$P$2)^A13)),NA())</f>
        <v>-276746.24874099396</v>
      </c>
      <c r="V13" s="4">
        <f>IF(A13&lt;('2. Inputs and results'!$C$23+1),V12+('2. Inputs and results'!$C$77*'2. Inputs and results'!$C$75)," ")</f>
        <v>56000</v>
      </c>
      <c r="W13" s="4">
        <f>IF(A13&lt;('2. Inputs and results'!$C$23+1),W12+C13+Y13-$V$6,NA())</f>
        <v>-265413.98847565008</v>
      </c>
      <c r="X13" s="4">
        <f>IF(A13&lt;('2. Inputs and results'!$C$23+1),'2. Inputs and results'!$C$81*(W12)," ")</f>
        <v>-6190.4703622676489</v>
      </c>
      <c r="Y13" s="4">
        <f t="shared" si="2"/>
        <v>-6190.4703622676489</v>
      </c>
      <c r="Z13" s="4">
        <f>IF(A13&lt;('2. Inputs and results'!$C$23+1),Z12+((C13-$V$6+Y13)/((1+$P$2)^A13)),NA())</f>
        <v>-318750.46393032291</v>
      </c>
      <c r="AA13" s="4">
        <f>IF(A13&lt;('2. Inputs and results'!$C$23+1),AA12+G13+I13+H13+T13-$V$6," ")</f>
        <v>382766.19816091738</v>
      </c>
      <c r="AB13" s="11">
        <f>IF(A13&lt;('2. Inputs and results'!$C$23+1),AA13/L13,NA())</f>
        <v>0.64330453472423088</v>
      </c>
      <c r="AC13" s="12">
        <f>IF(A13&lt;('2. Inputs and results'!$C$23+1),AC12+C13+Y13-$V$6," ")</f>
        <v>329586.01152434992</v>
      </c>
      <c r="AD13" s="11">
        <f>IF(A13&lt;('2. Inputs and results'!$C$23+1),AC13/L13,NA())</f>
        <v>0.55392606978882342</v>
      </c>
      <c r="AE13">
        <f>IF(A13&lt;('2. Inputs and results'!$C$23+1),-'2. Inputs and results'!$C$124*A13," ")</f>
        <v>-816000</v>
      </c>
      <c r="AF13">
        <f>IF(A13&lt;('2. Inputs and results'!$C$23+1),AE13/1000,NA())</f>
        <v>-816</v>
      </c>
    </row>
    <row r="14" spans="1:32">
      <c r="A14">
        <f t="shared" si="0"/>
        <v>9</v>
      </c>
      <c r="B14">
        <f>IF(A14&lt;('2. Inputs and results'!$C$23+1),A14," ")</f>
        <v>9</v>
      </c>
      <c r="C14" s="4">
        <f>IF(A14&lt;('2. Inputs and results'!$C$23+1),'2. Inputs and results'!$C$101+'2. Inputs and results'!$C$103," ")</f>
        <v>57300</v>
      </c>
      <c r="D14" s="4">
        <f>IF(A14&lt;('2. Inputs and results'!$C$23+1),D13+C14,NA())</f>
        <v>515700</v>
      </c>
      <c r="E14" s="4">
        <f>IF(A14&lt;('2. Inputs and results'!$C$23+1),C14/((1+$P$2)^A14)," ")</f>
        <v>40258.219948666985</v>
      </c>
      <c r="F14" s="4">
        <f>IF(B14&lt;('2. Inputs and results'!$C$23+1),F13+E14," ")</f>
        <v>426044.50128332479</v>
      </c>
      <c r="G14" s="4">
        <f>IF(A14&lt;('2. Inputs and results'!$C$23+1),G13*(1+'2. Inputs and results'!$C$46)," ")</f>
        <v>74106.049761175571</v>
      </c>
      <c r="H14" s="4">
        <f>IF(A14&lt;('2. Inputs and results'!$C$23+1),H13*(1+'2. Inputs and results'!$C$58)," ")</f>
        <v>0</v>
      </c>
      <c r="I14" s="4">
        <f>IF(A14&lt;('2. Inputs and results'!$C$23+1),I13*(1+'2. Inputs and results'!$C$34)," ")</f>
        <v>-1520.1240976651393</v>
      </c>
      <c r="J14" s="4">
        <f>IF(A14&lt;('2. Inputs and results'!$C$23+1),J13*(1+'2. Inputs and results'!$C$68)," ")</f>
        <v>0</v>
      </c>
      <c r="K14" s="4">
        <f>IF(A14&lt;('2. Inputs and results'!$C$23+1),K13+(G14+I14+H14+J14),NA())</f>
        <v>582116.78111385729</v>
      </c>
      <c r="L14" s="4">
        <f>IF(A14&lt;('2. Inputs and results'!$C$23+1),L13,NA())</f>
        <v>595000</v>
      </c>
      <c r="M14" s="4">
        <f>IF(A14&lt;('2. Inputs and results'!$C$23+1),'2. Inputs and results'!$C$77*'2. Inputs and results'!$C$75," ")</f>
        <v>7000</v>
      </c>
      <c r="N14" s="4">
        <f>IF(A14&lt;('2. Inputs and results'!$C$23+1),M14/((1+$P$2)^A14)," ")</f>
        <v>4918.1071490518134</v>
      </c>
      <c r="O14" s="4">
        <f>IF(A14&lt;('2. Inputs and results'!$C$23+1),'2. Inputs and results'!$C$75*'2. Inputs and results'!$C$77+O13," ")</f>
        <v>651000</v>
      </c>
      <c r="P14" s="4">
        <f>IF(A14&lt;('2. Inputs and results'!$C$23+1),(G14+I14+H14+J14)/((1+$P$2)^A14)," ")</f>
        <v>50997.908560893447</v>
      </c>
      <c r="Q14" s="4">
        <f>IF(A14&lt;('2. Inputs and results'!$C$23+1),Q13+P14," ")</f>
        <v>477215.41822797433</v>
      </c>
      <c r="R14" s="4">
        <f>IF(A14&lt;('2. Inputs and results'!$C$23+1),R13+G14+I14+H14+J14+T14-$V$6,NA())</f>
        <v>-150892.55221235377</v>
      </c>
      <c r="S14" s="4">
        <f>IF(A14&lt;('2. Inputs and results'!$C$23+1),'2. Inputs and results'!$C$81*(R13)," ")</f>
        <v>-4244.6760367816505</v>
      </c>
      <c r="T14" s="4">
        <f t="shared" si="1"/>
        <v>-4244.6760367816505</v>
      </c>
      <c r="U14" s="4">
        <f>IF(A14&lt;('2. Inputs and results'!$C$23+1),U13+((G14+I14+H14+J14-$V$6+T14)/((1+$P$2)^A14)),NA())</f>
        <v>-233648.70040942443</v>
      </c>
      <c r="V14" s="4">
        <f>IF(A14&lt;('2. Inputs and results'!$C$23+1),V13+('2. Inputs and results'!$C$77*'2. Inputs and results'!$C$75)," ")</f>
        <v>63000</v>
      </c>
      <c r="W14" s="4">
        <f>IF(A14&lt;('2. Inputs and results'!$C$23+1),W13+C14+Y14-$V$6,NA())</f>
        <v>-220422.26824516308</v>
      </c>
      <c r="X14" s="4">
        <f>IF(A14&lt;('2. Inputs and results'!$C$23+1),'2. Inputs and results'!$C$81*(W13)," ")</f>
        <v>-5308.2797695130021</v>
      </c>
      <c r="Y14" s="4">
        <f t="shared" si="2"/>
        <v>-5308.2797695130021</v>
      </c>
      <c r="Z14" s="4">
        <f>IF(A14&lt;('2. Inputs and results'!$C$23+1),Z13+((C14-$V$6+Y14)/((1+$P$2)^A14)),NA())</f>
        <v>-287139.878085509</v>
      </c>
      <c r="AA14" s="4">
        <f>IF(A14&lt;('2. Inputs and results'!$C$23+1),AA13+G14+I14+H14+T14-$V$6," ")</f>
        <v>444107.4477876462</v>
      </c>
      <c r="AB14" s="11">
        <f>IF(A14&lt;('2. Inputs and results'!$C$23+1),AA14/L14,NA())</f>
        <v>0.74639907191201038</v>
      </c>
      <c r="AC14" s="12">
        <f>IF(A14&lt;('2. Inputs and results'!$C$23+1),AC13+C14+Y14-$V$6," ")</f>
        <v>374577.73175483692</v>
      </c>
      <c r="AD14" s="11">
        <f>IF(A14&lt;('2. Inputs and results'!$C$23+1),AC14/L14,NA())</f>
        <v>0.62954240631065028</v>
      </c>
      <c r="AE14">
        <f>IF(A14&lt;('2. Inputs and results'!$C$23+1),-'2. Inputs and results'!$C$124*A14," ")</f>
        <v>-918000</v>
      </c>
      <c r="AF14">
        <f>IF(A14&lt;('2. Inputs and results'!$C$23+1),AE14/1000,NA())</f>
        <v>-918</v>
      </c>
    </row>
    <row r="15" spans="1:32">
      <c r="A15">
        <f t="shared" si="0"/>
        <v>10</v>
      </c>
      <c r="B15">
        <f>IF(A15&lt;('2. Inputs and results'!$C$23+1),A15," ")</f>
        <v>10</v>
      </c>
      <c r="C15" s="4">
        <f>IF(A15&lt;('2. Inputs and results'!$C$23+1),'2. Inputs and results'!$C$101+'2. Inputs and results'!$C$103," ")</f>
        <v>57300</v>
      </c>
      <c r="D15" s="4">
        <f>IF(A15&lt;('2. Inputs and results'!$C$23+1),D14+C15,NA())</f>
        <v>573000</v>
      </c>
      <c r="E15" s="4">
        <f>IF(A15&lt;('2. Inputs and results'!$C$23+1),C15/((1+$P$2)^A15)," ")</f>
        <v>38709.826873718259</v>
      </c>
      <c r="F15" s="4">
        <f>IF(B15&lt;('2. Inputs and results'!$C$23+1),F14+E15," ")</f>
        <v>464754.32815704303</v>
      </c>
      <c r="G15" s="4">
        <f>IF(A15&lt;('2. Inputs and results'!$C$23+1),G14*(1+'2. Inputs and results'!$C$46)," ")</f>
        <v>76329.23125401084</v>
      </c>
      <c r="H15" s="4">
        <f>IF(A15&lt;('2. Inputs and results'!$C$23+1),H14*(1+'2. Inputs and results'!$C$58)," ")</f>
        <v>0</v>
      </c>
      <c r="I15" s="4">
        <f>IF(A15&lt;('2. Inputs and results'!$C$23+1),I14*(1+'2. Inputs and results'!$C$34)," ")</f>
        <v>-1565.7278205950936</v>
      </c>
      <c r="J15" s="4">
        <f>IF(A15&lt;('2. Inputs and results'!$C$23+1),J14*(1+'2. Inputs and results'!$C$68)," ")</f>
        <v>0</v>
      </c>
      <c r="K15" s="4">
        <f>IF(A15&lt;('2. Inputs and results'!$C$23+1),K14+(G15+I15+H15+J15),NA())</f>
        <v>656880.28454727307</v>
      </c>
      <c r="L15" s="4">
        <f>IF(A15&lt;('2. Inputs and results'!$C$23+1),L14,NA())</f>
        <v>595000</v>
      </c>
      <c r="M15" s="4">
        <f>IF(A15&lt;('2. Inputs and results'!$C$23+1),'2. Inputs and results'!$C$77*'2. Inputs and results'!$C$75," ")</f>
        <v>7000</v>
      </c>
      <c r="N15" s="4">
        <f>IF(A15&lt;('2. Inputs and results'!$C$23+1),M15/((1+$P$2)^A15)," ")</f>
        <v>4728.9491817805902</v>
      </c>
      <c r="O15" s="4">
        <f>IF(A15&lt;('2. Inputs and results'!$C$23+1),'2. Inputs and results'!$C$75*'2. Inputs and results'!$C$77+O14," ")</f>
        <v>658000</v>
      </c>
      <c r="P15" s="4">
        <f>IF(A15&lt;('2. Inputs and results'!$C$23+1),(G15+I15+H15+J15)/((1+$P$2)^A15)," ")</f>
        <v>50507.544055500242</v>
      </c>
      <c r="Q15" s="4">
        <f>IF(A15&lt;('2. Inputs and results'!$C$23+1),Q14+P15," ")</f>
        <v>527722.96228347463</v>
      </c>
      <c r="R15" s="4">
        <f>IF(A15&lt;('2. Inputs and results'!$C$23+1),R14+G15+I15+H15+J15+T15-$V$6,NA())</f>
        <v>-86146.8998231851</v>
      </c>
      <c r="S15" s="4">
        <f>IF(A15&lt;('2. Inputs and results'!$C$23+1),'2. Inputs and results'!$C$81*(R14)," ")</f>
        <v>-3017.8510442470756</v>
      </c>
      <c r="T15" s="4">
        <f t="shared" si="1"/>
        <v>-3017.8510442470756</v>
      </c>
      <c r="U15" s="4">
        <f>IF(A15&lt;('2. Inputs and results'!$C$23+1),U14+((G15+I15+H15+J15-$V$6+T15)/((1+$P$2)^A15)),NA())</f>
        <v>-189908.85756805161</v>
      </c>
      <c r="V15" s="4">
        <f>IF(A15&lt;('2. Inputs and results'!$C$23+1),V14+('2. Inputs and results'!$C$77*'2. Inputs and results'!$C$75)," ")</f>
        <v>70000</v>
      </c>
      <c r="W15" s="4">
        <f>IF(A15&lt;('2. Inputs and results'!$C$23+1),W14+C15+Y15-$V$6,NA())</f>
        <v>-174530.71361006633</v>
      </c>
      <c r="X15" s="4">
        <f>IF(A15&lt;('2. Inputs and results'!$C$23+1),'2. Inputs and results'!$C$81*(W14)," ")</f>
        <v>-4408.4453649032621</v>
      </c>
      <c r="Y15" s="4">
        <f t="shared" si="2"/>
        <v>-4408.4453649032621</v>
      </c>
      <c r="Z15" s="4">
        <f>IF(A15&lt;('2. Inputs and results'!$C$23+1),Z14+((C15-$V$6+Y15)/((1+$P$2)^A15)),NA())</f>
        <v>-256137.18812232616</v>
      </c>
      <c r="AA15" s="4">
        <f>IF(A15&lt;('2. Inputs and results'!$C$23+1),AA14+G15+I15+H15+T15-$V$6," ")</f>
        <v>508853.10017681483</v>
      </c>
      <c r="AB15" s="11">
        <f>IF(A15&lt;('2. Inputs and results'!$C$23+1),AA15/L15,NA())</f>
        <v>0.85521529441481481</v>
      </c>
      <c r="AC15" s="12">
        <f>IF(A15&lt;('2. Inputs and results'!$C$23+1),AC14+C15+Y15-$V$6," ")</f>
        <v>420469.28638993367</v>
      </c>
      <c r="AD15" s="11">
        <f>IF(A15&lt;('2. Inputs and results'!$C$23+1),AC15/L15,NA())</f>
        <v>0.7066710695629137</v>
      </c>
      <c r="AE15">
        <f>IF(A15&lt;('2. Inputs and results'!$C$23+1),-'2. Inputs and results'!$C$124*A15," ")</f>
        <v>-1020000</v>
      </c>
      <c r="AF15">
        <f>IF(A15&lt;('2. Inputs and results'!$C$23+1),AE15/1000,NA())</f>
        <v>-1020</v>
      </c>
    </row>
    <row r="16" spans="1:32">
      <c r="A16">
        <f t="shared" si="0"/>
        <v>11</v>
      </c>
      <c r="B16">
        <f>IF(A16&lt;('2. Inputs and results'!$C$23+1),A16," ")</f>
        <v>11</v>
      </c>
      <c r="C16" s="4">
        <f>IF(A16&lt;('2. Inputs and results'!$C$23+1),'2. Inputs and results'!$C$101+'2. Inputs and results'!$C$103," ")</f>
        <v>57300</v>
      </c>
      <c r="D16" s="4">
        <f>IF(A16&lt;('2. Inputs and results'!$C$23+1),D15+C16,NA())</f>
        <v>630300</v>
      </c>
      <c r="E16" s="4">
        <f>IF(A16&lt;('2. Inputs and results'!$C$23+1),C16/((1+$P$2)^A16)," ")</f>
        <v>37220.98737857525</v>
      </c>
      <c r="F16" s="4">
        <f>IF(B16&lt;('2. Inputs and results'!$C$23+1),F15+E16," ")</f>
        <v>501975.31553561828</v>
      </c>
      <c r="G16" s="4">
        <f>IF(A16&lt;('2. Inputs and results'!$C$23+1),G15*(1+'2. Inputs and results'!$C$46)," ")</f>
        <v>78619.108191631167</v>
      </c>
      <c r="H16" s="4">
        <f>IF(A16&lt;('2. Inputs and results'!$C$23+1),H15*(1+'2. Inputs and results'!$C$58)," ")</f>
        <v>0</v>
      </c>
      <c r="I16" s="4">
        <f>IF(A16&lt;('2. Inputs and results'!$C$23+1),I15*(1+'2. Inputs and results'!$C$34)," ")</f>
        <v>-1612.6996552129465</v>
      </c>
      <c r="J16" s="4">
        <f>IF(A16&lt;('2. Inputs and results'!$C$23+1),J15*(1+'2. Inputs and results'!$C$68)," ")</f>
        <v>0</v>
      </c>
      <c r="K16" s="4">
        <f>IF(A16&lt;('2. Inputs and results'!$C$23+1),K15+(G16+I16+H16+J16),NA())</f>
        <v>733886.69308369129</v>
      </c>
      <c r="L16" s="4">
        <f>IF(A16&lt;('2. Inputs and results'!$C$23+1),L15,NA())</f>
        <v>595000</v>
      </c>
      <c r="M16" s="4">
        <f>IF(A16&lt;('2. Inputs and results'!$C$23+1),'2. Inputs and results'!$C$77*'2. Inputs and results'!$C$75," ")</f>
        <v>7000</v>
      </c>
      <c r="N16" s="4">
        <f>IF(A16&lt;('2. Inputs and results'!$C$23+1),M16/((1+$P$2)^A16)," ")</f>
        <v>4547.0665209428753</v>
      </c>
      <c r="O16" s="4">
        <f>IF(A16&lt;('2. Inputs and results'!$C$23+1),'2. Inputs and results'!$C$75*'2. Inputs and results'!$C$77+O15," ")</f>
        <v>665000</v>
      </c>
      <c r="P16" s="4">
        <f>IF(A16&lt;('2. Inputs and results'!$C$23+1),(G16+I16+H16+J16)/((1+$P$2)^A16)," ")</f>
        <v>50021.894593428136</v>
      </c>
      <c r="Q16" s="4">
        <f>IF(A16&lt;('2. Inputs and results'!$C$23+1),Q15+P16," ")</f>
        <v>577744.85687690275</v>
      </c>
      <c r="R16" s="4">
        <f>IF(A16&lt;('2. Inputs and results'!$C$23+1),R15+G16+I16+H16+J16+T16-$V$6,NA())</f>
        <v>-17863.42928323058</v>
      </c>
      <c r="S16" s="4">
        <f>IF(A16&lt;('2. Inputs and results'!$C$23+1),'2. Inputs and results'!$C$81*(R15)," ")</f>
        <v>-1722.9379964637021</v>
      </c>
      <c r="T16" s="4">
        <f t="shared" si="1"/>
        <v>-1722.9379964637021</v>
      </c>
      <c r="U16" s="4">
        <f>IF(A16&lt;('2. Inputs and results'!$C$23+1),U15+((G16+I16+H16+J16-$V$6+T16)/((1+$P$2)^A16)),NA())</f>
        <v>-145553.21716433499</v>
      </c>
      <c r="V16" s="4">
        <f>IF(A16&lt;('2. Inputs and results'!$C$23+1),V15+('2. Inputs and results'!$C$77*'2. Inputs and results'!$C$75)," ")</f>
        <v>77000</v>
      </c>
      <c r="W16" s="4">
        <f>IF(A16&lt;('2. Inputs and results'!$C$23+1),W15+C16+Y16-$V$6,NA())</f>
        <v>-127721.32788226767</v>
      </c>
      <c r="X16" s="4">
        <f>IF(A16&lt;('2. Inputs and results'!$C$23+1),'2. Inputs and results'!$C$81*(W15)," ")</f>
        <v>-3490.6142722013269</v>
      </c>
      <c r="Y16" s="4">
        <f t="shared" si="2"/>
        <v>-3490.6142722013269</v>
      </c>
      <c r="Z16" s="4">
        <f>IF(A16&lt;('2. Inputs and results'!$C$23+1),Z15+((C16-$V$6+Y16)/((1+$P$2)^A16)),NA())</f>
        <v>-225730.70373535837</v>
      </c>
      <c r="AA16" s="4">
        <f>IF(A16&lt;('2. Inputs and results'!$C$23+1),AA15+G16+I16+H16+T16-$V$6," ")</f>
        <v>577136.57071676932</v>
      </c>
      <c r="AB16" s="11">
        <f>IF(A16&lt;('2. Inputs and results'!$C$23+1),AA16/L16,NA())</f>
        <v>0.96997742977608292</v>
      </c>
      <c r="AC16" s="12">
        <f>IF(A16&lt;('2. Inputs and results'!$C$23+1),AC15+C16+Y16-$V$6," ")</f>
        <v>467278.67211773235</v>
      </c>
      <c r="AD16" s="11">
        <f>IF(A16&lt;('2. Inputs and results'!$C$23+1),AC16/L16,NA())</f>
        <v>0.78534230608022249</v>
      </c>
      <c r="AE16">
        <f>IF(A16&lt;('2. Inputs and results'!$C$23+1),-'2. Inputs and results'!$C$124*A16," ")</f>
        <v>-1122000</v>
      </c>
      <c r="AF16">
        <f>IF(A16&lt;('2. Inputs and results'!$C$23+1),AE16/1000,NA())</f>
        <v>-1122</v>
      </c>
    </row>
    <row r="17" spans="1:32">
      <c r="A17">
        <f t="shared" si="0"/>
        <v>12</v>
      </c>
      <c r="B17">
        <f>IF(A17&lt;('2. Inputs and results'!$C$23+1),A17," ")</f>
        <v>12</v>
      </c>
      <c r="C17" s="4">
        <f>IF(A17&lt;('2. Inputs and results'!$C$23+1),'2. Inputs and results'!$C$101+'2. Inputs and results'!$C$103," ")</f>
        <v>57300</v>
      </c>
      <c r="D17" s="4">
        <f>IF(A17&lt;('2. Inputs and results'!$C$23+1),D16+C17,NA())</f>
        <v>687600</v>
      </c>
      <c r="E17" s="4">
        <f>IF(A17&lt;('2. Inputs and results'!$C$23+1),C17/((1+$P$2)^A17)," ")</f>
        <v>35789.410940937734</v>
      </c>
      <c r="F17" s="4">
        <f>IF(B17&lt;('2. Inputs and results'!$C$23+1),F16+E17," ")</f>
        <v>537764.72647655604</v>
      </c>
      <c r="G17" s="4">
        <f>IF(A17&lt;('2. Inputs and results'!$C$23+1),G16*(1+'2. Inputs and results'!$C$46)," ")</f>
        <v>80977.681437380103</v>
      </c>
      <c r="H17" s="4">
        <f>IF(A17&lt;('2. Inputs and results'!$C$23+1),H16*(1+'2. Inputs and results'!$C$58)," ")</f>
        <v>0</v>
      </c>
      <c r="I17" s="4">
        <f>IF(A17&lt;('2. Inputs and results'!$C$23+1),I16*(1+'2. Inputs and results'!$C$34)," ")</f>
        <v>-1661.0806448693349</v>
      </c>
      <c r="J17" s="4">
        <f>IF(A17&lt;('2. Inputs and results'!$C$23+1),J16*(1+'2. Inputs and results'!$C$68)," ")</f>
        <v>0</v>
      </c>
      <c r="K17" s="4">
        <f>IF(A17&lt;('2. Inputs and results'!$C$23+1),K16+(G17+I17+H17+J17),NA())</f>
        <v>813203.29387620208</v>
      </c>
      <c r="L17" s="4">
        <f>IF(A17&lt;('2. Inputs and results'!$C$23+1),L16,NA())</f>
        <v>595000</v>
      </c>
      <c r="M17" s="4">
        <f>IF(A17&lt;('2. Inputs and results'!$C$23+1),'2. Inputs and results'!$C$77*'2. Inputs and results'!$C$75," ")</f>
        <v>7000</v>
      </c>
      <c r="N17" s="4">
        <f>IF(A17&lt;('2. Inputs and results'!$C$23+1),M17/((1+$P$2)^A17)," ")</f>
        <v>4372.1793470604562</v>
      </c>
      <c r="O17" s="4">
        <f>IF(A17&lt;('2. Inputs and results'!$C$23+1),'2. Inputs and results'!$C$75*'2. Inputs and results'!$C$77+O16," ")</f>
        <v>672000</v>
      </c>
      <c r="P17" s="4">
        <f>IF(A17&lt;('2. Inputs and results'!$C$23+1),(G17+I17+H17+J17)/((1+$P$2)^A17)," ")</f>
        <v>49540.914837722084</v>
      </c>
      <c r="Q17" s="4">
        <f>IF(A17&lt;('2. Inputs and results'!$C$23+1),Q16+P17," ")</f>
        <v>627285.77171462483</v>
      </c>
      <c r="R17" s="4">
        <f>IF(A17&lt;('2. Inputs and results'!$C$23+1),R16+G17+I17+H17+J17+T17-$V$6,NA())</f>
        <v>54095.902923615577</v>
      </c>
      <c r="S17" s="4">
        <f>IF(A17&lt;('2. Inputs and results'!$C$23+1),'2. Inputs and results'!$C$81*(R16)," ")</f>
        <v>-357.26858566461163</v>
      </c>
      <c r="T17" s="4">
        <f t="shared" si="1"/>
        <v>-357.26858566461163</v>
      </c>
      <c r="U17" s="4">
        <f>IF(A17&lt;('2. Inputs and results'!$C$23+1),U16+((G17+I17+H17+J17-$V$6+T17)/((1+$P$2)^A17)),NA())</f>
        <v>-100607.63057818712</v>
      </c>
      <c r="V17" s="4">
        <f>IF(A17&lt;('2. Inputs and results'!$C$23+1),V16+('2. Inputs and results'!$C$77*'2. Inputs and results'!$C$75)," ")</f>
        <v>84000</v>
      </c>
      <c r="W17" s="4">
        <f>IF(A17&lt;('2. Inputs and results'!$C$23+1),W16+C17+Y17-$V$6,NA())</f>
        <v>-79975.754439913013</v>
      </c>
      <c r="X17" s="4">
        <f>IF(A17&lt;('2. Inputs and results'!$C$23+1),'2. Inputs and results'!$C$81*(W16)," ")</f>
        <v>-2554.4265576453536</v>
      </c>
      <c r="Y17" s="4">
        <f t="shared" si="2"/>
        <v>-2554.4265576453536</v>
      </c>
      <c r="Z17" s="4">
        <f>IF(A17&lt;('2. Inputs and results'!$C$23+1),Z16+((C17-$V$6+Y17)/((1+$P$2)^A17)),NA())</f>
        <v>-195908.95943275534</v>
      </c>
      <c r="AA17" s="4">
        <f>IF(A17&lt;('2. Inputs and results'!$C$23+1),AA16+G17+I17+H17+T17-$V$6," ")</f>
        <v>649095.90292361553</v>
      </c>
      <c r="AB17" s="11">
        <f>IF(A17&lt;('2. Inputs and results'!$C$23+1),AA17/L17,NA())</f>
        <v>1.0909174839052362</v>
      </c>
      <c r="AC17" s="12">
        <f>IF(A17&lt;('2. Inputs and results'!$C$23+1),AC16+C17+Y17-$V$6," ")</f>
        <v>515024.24556008697</v>
      </c>
      <c r="AD17" s="11">
        <f>IF(A17&lt;('2. Inputs and results'!$C$23+1),AC17/L17,NA())</f>
        <v>0.86558696732787721</v>
      </c>
      <c r="AE17">
        <f>IF(A17&lt;('2. Inputs and results'!$C$23+1),-'2. Inputs and results'!$C$124*A17," ")</f>
        <v>-1224000</v>
      </c>
      <c r="AF17">
        <f>IF(A17&lt;('2. Inputs and results'!$C$23+1),AE17/1000,NA())</f>
        <v>-1224</v>
      </c>
    </row>
    <row r="18" spans="1:32">
      <c r="A18">
        <f t="shared" si="0"/>
        <v>13</v>
      </c>
      <c r="B18">
        <f>IF(A18&lt;('2. Inputs and results'!$C$23+1),A18," ")</f>
        <v>13</v>
      </c>
      <c r="C18" s="4">
        <f>IF(A18&lt;('2. Inputs and results'!$C$23+1),'2. Inputs and results'!$C$101+'2. Inputs and results'!$C$103," ")</f>
        <v>57300</v>
      </c>
      <c r="D18" s="4">
        <f>IF(A18&lt;('2. Inputs and results'!$C$23+1),D17+C18,NA())</f>
        <v>744900</v>
      </c>
      <c r="E18" s="4">
        <f>IF(A18&lt;('2. Inputs and results'!$C$23+1),C18/((1+$P$2)^A18)," ")</f>
        <v>34412.89513551705</v>
      </c>
      <c r="F18" s="4">
        <f>IF(B18&lt;('2. Inputs and results'!$C$23+1),F17+E18," ")</f>
        <v>572177.62161207304</v>
      </c>
      <c r="G18" s="4">
        <f>IF(A18&lt;('2. Inputs and results'!$C$23+1),G17*(1+'2. Inputs and results'!$C$46)," ")</f>
        <v>83407.011880501508</v>
      </c>
      <c r="H18" s="4">
        <f>IF(A18&lt;('2. Inputs and results'!$C$23+1),H17*(1+'2. Inputs and results'!$C$58)," ")</f>
        <v>0</v>
      </c>
      <c r="I18" s="4">
        <f>IF(A18&lt;('2. Inputs and results'!$C$23+1),I17*(1+'2. Inputs and results'!$C$34)," ")</f>
        <v>-1710.913064215415</v>
      </c>
      <c r="J18" s="4">
        <f>IF(A18&lt;('2. Inputs and results'!$C$23+1),J17*(1+'2. Inputs and results'!$C$68)," ")</f>
        <v>0</v>
      </c>
      <c r="K18" s="4">
        <f>IF(A18&lt;('2. Inputs and results'!$C$23+1),K17+(G18+I18+H18+J18),NA())</f>
        <v>894899.39269248815</v>
      </c>
      <c r="L18" s="4">
        <f>IF(A18&lt;('2. Inputs and results'!$C$23+1),L17,NA())</f>
        <v>595000</v>
      </c>
      <c r="M18" s="4">
        <f>IF(A18&lt;('2. Inputs and results'!$C$23+1),'2. Inputs and results'!$C$77*'2. Inputs and results'!$C$75," ")</f>
        <v>7000</v>
      </c>
      <c r="N18" s="4">
        <f>IF(A18&lt;('2. Inputs and results'!$C$23+1),M18/((1+$P$2)^A18)," ")</f>
        <v>4204.0186029427459</v>
      </c>
      <c r="O18" s="4">
        <f>IF(A18&lt;('2. Inputs and results'!$C$23+1),'2. Inputs and results'!$C$75*'2. Inputs and results'!$C$77+O17," ")</f>
        <v>679000</v>
      </c>
      <c r="P18" s="4">
        <f>IF(A18&lt;('2. Inputs and results'!$C$23+1),(G18+I18+H18+J18)/((1+$P$2)^A18)," ")</f>
        <v>49064.55988735937</v>
      </c>
      <c r="Q18" s="4">
        <f>IF(A18&lt;('2. Inputs and results'!$C$23+1),Q17+P18," ")</f>
        <v>676350.33160198422</v>
      </c>
      <c r="R18" s="4">
        <f>IF(A18&lt;('2. Inputs and results'!$C$23+1),R17+G18+I18+H18+J18+T18-$V$6,NA())</f>
        <v>128792.00173990167</v>
      </c>
      <c r="S18" s="4">
        <f>IF(A18&lt;('2. Inputs and results'!$C$23+1),'2. Inputs and results'!$C$81*(R17)," ")</f>
        <v>1081.9180584723115</v>
      </c>
      <c r="T18" s="4">
        <f t="shared" si="1"/>
        <v>0</v>
      </c>
      <c r="U18" s="4">
        <f>IF(A18&lt;('2. Inputs and results'!$C$23+1),U17+((G18+I18+H18+J18-$V$6+T18)/((1+$P$2)^A18)),NA())</f>
        <v>-55747.089293770499</v>
      </c>
      <c r="V18" s="4">
        <f>IF(A18&lt;('2. Inputs and results'!$C$23+1),V17+('2. Inputs and results'!$C$77*'2. Inputs and results'!$C$75)," ")</f>
        <v>91000</v>
      </c>
      <c r="W18" s="4">
        <f>IF(A18&lt;('2. Inputs and results'!$C$23+1),W17+C18+Y18-$V$6,NA())</f>
        <v>-31275.269528711273</v>
      </c>
      <c r="X18" s="4">
        <f>IF(A18&lt;('2. Inputs and results'!$C$23+1),'2. Inputs and results'!$C$81*(W17)," ")</f>
        <v>-1599.5150887982602</v>
      </c>
      <c r="Y18" s="4">
        <f t="shared" si="2"/>
        <v>-1599.5150887982602</v>
      </c>
      <c r="Z18" s="4">
        <f>IF(A18&lt;('2. Inputs and results'!$C$23+1),Z17+((C18-$V$6+Y18)/((1+$P$2)^A18)),NA())</f>
        <v>-166660.71021289469</v>
      </c>
      <c r="AA18" s="4">
        <f>IF(A18&lt;('2. Inputs and results'!$C$23+1),AA17+G18+I18+H18+T18-$V$6," ")</f>
        <v>723792.00173990161</v>
      </c>
      <c r="AB18" s="11">
        <f>IF(A18&lt;('2. Inputs and results'!$C$23+1),AA18/L18,NA())</f>
        <v>1.2164571457813473</v>
      </c>
      <c r="AC18" s="12">
        <f>IF(A18&lt;('2. Inputs and results'!$C$23+1),AC17+C18+Y18-$V$6," ")</f>
        <v>563724.73047128879</v>
      </c>
      <c r="AD18" s="11">
        <f>IF(A18&lt;('2. Inputs and results'!$C$23+1),AC18/L18,NA())</f>
        <v>0.94743652180048532</v>
      </c>
      <c r="AE18">
        <f>IF(A18&lt;('2. Inputs and results'!$C$23+1),-'2. Inputs and results'!$C$124*A18," ")</f>
        <v>-1326000</v>
      </c>
      <c r="AF18">
        <f>IF(A18&lt;('2. Inputs and results'!$C$23+1),AE18/1000,NA())</f>
        <v>-1326</v>
      </c>
    </row>
    <row r="19" spans="1:32">
      <c r="A19">
        <f t="shared" si="0"/>
        <v>14</v>
      </c>
      <c r="B19">
        <f>IF(A19&lt;('2. Inputs and results'!$C$23+1),A19," ")</f>
        <v>14</v>
      </c>
      <c r="C19" s="4">
        <f>IF(A19&lt;('2. Inputs and results'!$C$23+1),'2. Inputs and results'!$C$101+'2. Inputs and results'!$C$103," ")</f>
        <v>57300</v>
      </c>
      <c r="D19" s="4">
        <f>IF(A19&lt;('2. Inputs and results'!$C$23+1),D18+C19,NA())</f>
        <v>802200</v>
      </c>
      <c r="E19" s="4">
        <f>IF(A19&lt;('2. Inputs and results'!$C$23+1),C19/((1+$P$2)^A19)," ")</f>
        <v>33089.322245689473</v>
      </c>
      <c r="F19" s="4">
        <f>IF(B19&lt;('2. Inputs and results'!$C$23+1),F18+E19," ")</f>
        <v>605266.9438577625</v>
      </c>
      <c r="G19" s="4">
        <f>IF(A19&lt;('2. Inputs and results'!$C$23+1),G18*(1+'2. Inputs and results'!$C$46)," ")</f>
        <v>85909.222236916554</v>
      </c>
      <c r="H19" s="4">
        <f>IF(A19&lt;('2. Inputs and results'!$C$23+1),H18*(1+'2. Inputs and results'!$C$58)," ")</f>
        <v>0</v>
      </c>
      <c r="I19" s="4">
        <f>IF(A19&lt;('2. Inputs and results'!$C$23+1),I18*(1+'2. Inputs and results'!$C$34)," ")</f>
        <v>-1762.2404561418775</v>
      </c>
      <c r="J19" s="4">
        <f>IF(A19&lt;('2. Inputs and results'!$C$23+1),J18*(1+'2. Inputs and results'!$C$68)," ")</f>
        <v>0</v>
      </c>
      <c r="K19" s="4">
        <f>IF(A19&lt;('2. Inputs and results'!$C$23+1),K18+(G19+I19+H19+J19),NA())</f>
        <v>979046.37447326281</v>
      </c>
      <c r="L19" s="4">
        <f>IF(A19&lt;('2. Inputs and results'!$C$23+1),L18,NA())</f>
        <v>595000</v>
      </c>
      <c r="M19" s="4">
        <f>IF(A19&lt;('2. Inputs and results'!$C$23+1),'2. Inputs and results'!$C$77*'2. Inputs and results'!$C$75," ")</f>
        <v>7000</v>
      </c>
      <c r="N19" s="4">
        <f>IF(A19&lt;('2. Inputs and results'!$C$23+1),M19/((1+$P$2)^A19)," ")</f>
        <v>4042.3255797526404</v>
      </c>
      <c r="O19" s="4">
        <f>IF(A19&lt;('2. Inputs and results'!$C$23+1),'2. Inputs and results'!$C$75*'2. Inputs and results'!$C$77+O18," ")</f>
        <v>686000</v>
      </c>
      <c r="P19" s="4">
        <f>IF(A19&lt;('2. Inputs and results'!$C$23+1),(G19+I19+H19+J19)/((1+$P$2)^A19)," ")</f>
        <v>48592.785273057838</v>
      </c>
      <c r="Q19" s="4">
        <f>IF(A19&lt;('2. Inputs and results'!$C$23+1),Q18+P19," ")</f>
        <v>724943.11687504209</v>
      </c>
      <c r="R19" s="4">
        <f>IF(A19&lt;('2. Inputs and results'!$C$23+1),R18+G19+I19+H19+J19+T19-$V$6,NA())</f>
        <v>205938.98352067632</v>
      </c>
      <c r="S19" s="4">
        <f>IF(A19&lt;('2. Inputs and results'!$C$23+1),'2. Inputs and results'!$C$81*(R18)," ")</f>
        <v>2575.8400347980332</v>
      </c>
      <c r="T19" s="4">
        <f t="shared" si="1"/>
        <v>0</v>
      </c>
      <c r="U19" s="4">
        <f>IF(A19&lt;('2. Inputs and results'!$C$23+1),U18+((G19+I19+H19+J19-$V$6+T19)/((1+$P$2)^A19)),NA())</f>
        <v>-11196.629600465305</v>
      </c>
      <c r="V19" s="4">
        <f>IF(A19&lt;('2. Inputs and results'!$C$23+1),V18+('2. Inputs and results'!$C$77*'2. Inputs and results'!$C$75)," ")</f>
        <v>98000</v>
      </c>
      <c r="W19" s="4">
        <f>IF(A19&lt;('2. Inputs and results'!$C$23+1),W18+C19+Y19-$V$6,NA())</f>
        <v>18399.225080714503</v>
      </c>
      <c r="X19" s="4">
        <f>IF(A19&lt;('2. Inputs and results'!$C$23+1),'2. Inputs and results'!$C$81*(W18)," ")</f>
        <v>-625.50539057422543</v>
      </c>
      <c r="Y19" s="4">
        <f t="shared" si="2"/>
        <v>-625.50539057422543</v>
      </c>
      <c r="Z19" s="4">
        <f>IF(A19&lt;('2. Inputs and results'!$C$23+1),Z18+((C19-$V$6+Y19)/((1+$P$2)^A19)),NA())</f>
        <v>-137974.92732418521</v>
      </c>
      <c r="AA19" s="4">
        <f>IF(A19&lt;('2. Inputs and results'!$C$23+1),AA18+G19+I19+H19+T19-$V$6," ")</f>
        <v>800938.98352067627</v>
      </c>
      <c r="AB19" s="11">
        <f>IF(A19&lt;('2. Inputs and results'!$C$23+1),AA19/L19,NA())</f>
        <v>1.3461159386902122</v>
      </c>
      <c r="AC19" s="12">
        <f>IF(A19&lt;('2. Inputs and results'!$C$23+1),AC18+C19+Y19-$V$6," ")</f>
        <v>613399.22508071456</v>
      </c>
      <c r="AD19" s="11">
        <f>IF(A19&lt;('2. Inputs and results'!$C$23+1),AC19/L19,NA())</f>
        <v>1.0309230673625456</v>
      </c>
      <c r="AE19">
        <f>IF(A19&lt;('2. Inputs and results'!$C$23+1),-'2. Inputs and results'!$C$124*A19," ")</f>
        <v>-1428000</v>
      </c>
      <c r="AF19">
        <f>IF(A19&lt;('2. Inputs and results'!$C$23+1),AE19/1000,NA())</f>
        <v>-1428</v>
      </c>
    </row>
    <row r="20" spans="1:32">
      <c r="A20">
        <f t="shared" si="0"/>
        <v>15</v>
      </c>
      <c r="B20">
        <f>IF(A20&lt;('2. Inputs and results'!$C$23+1),A20," ")</f>
        <v>15</v>
      </c>
      <c r="C20" s="4">
        <f>IF(A20&lt;('2. Inputs and results'!$C$23+1),'2. Inputs and results'!$C$101+'2. Inputs and results'!$C$103," ")</f>
        <v>57300</v>
      </c>
      <c r="D20" s="4">
        <f>IF(A20&lt;('2. Inputs and results'!$C$23+1),D19+C20,NA())</f>
        <v>859500</v>
      </c>
      <c r="E20" s="4">
        <f>IF(A20&lt;('2. Inputs and results'!$C$23+1),C20/((1+$P$2)^A20)," ")</f>
        <v>31816.656005470646</v>
      </c>
      <c r="F20" s="4">
        <f>IF(B20&lt;('2. Inputs and results'!$C$23+1),F19+E20," ")</f>
        <v>637083.59986323316</v>
      </c>
      <c r="G20" s="4">
        <f>IF(A20&lt;('2. Inputs and results'!$C$23+1),G19*(1+'2. Inputs and results'!$C$46)," ")</f>
        <v>88486.498904024047</v>
      </c>
      <c r="H20" s="4">
        <f>IF(A20&lt;('2. Inputs and results'!$C$23+1),H19*(1+'2. Inputs and results'!$C$58)," ")</f>
        <v>0</v>
      </c>
      <c r="I20" s="4">
        <f>IF(A20&lt;('2. Inputs and results'!$C$23+1),I19*(1+'2. Inputs and results'!$C$34)," ")</f>
        <v>-1815.1076698261338</v>
      </c>
      <c r="J20" s="4">
        <f>IF(A20&lt;('2. Inputs and results'!$C$23+1),J19*(1+'2. Inputs and results'!$C$68)," ")</f>
        <v>0</v>
      </c>
      <c r="K20" s="4">
        <f>IF(A20&lt;('2. Inputs and results'!$C$23+1),K19+(G20+I20+H20+J20),NA())</f>
        <v>1065717.7657074607</v>
      </c>
      <c r="L20" s="4">
        <f>IF(A20&lt;('2. Inputs and results'!$C$23+1),L19,NA())</f>
        <v>595000</v>
      </c>
      <c r="M20" s="4">
        <f>IF(A20&lt;('2. Inputs and results'!$C$23+1),'2. Inputs and results'!$C$77*'2. Inputs and results'!$C$75," ")</f>
        <v>7000</v>
      </c>
      <c r="N20" s="4">
        <f>IF(A20&lt;('2. Inputs and results'!$C$23+1),M20/((1+$P$2)^A20)," ")</f>
        <v>3886.8515189929235</v>
      </c>
      <c r="O20" s="4">
        <f>IF(A20&lt;('2. Inputs and results'!$C$23+1),'2. Inputs and results'!$C$75*'2. Inputs and results'!$C$77+O19," ")</f>
        <v>693000</v>
      </c>
      <c r="P20" s="4">
        <f>IF(A20&lt;('2. Inputs and results'!$C$23+1),(G20+I20+H20+J20)/((1+$P$2)^A20)," ")</f>
        <v>48125.546953124591</v>
      </c>
      <c r="Q20" s="4">
        <f>IF(A20&lt;('2. Inputs and results'!$C$23+1),Q19+P20," ")</f>
        <v>773068.66382816667</v>
      </c>
      <c r="R20" s="4">
        <f>IF(A20&lt;('2. Inputs and results'!$C$23+1),R19+G20+I20+H20+J20+T20-$V$6,NA())</f>
        <v>285610.37475487427</v>
      </c>
      <c r="S20" s="4">
        <f>IF(A20&lt;('2. Inputs and results'!$C$23+1),'2. Inputs and results'!$C$81*(R19)," ")</f>
        <v>4118.7796704135262</v>
      </c>
      <c r="T20" s="4">
        <f t="shared" si="1"/>
        <v>0</v>
      </c>
      <c r="U20" s="4">
        <f>IF(A20&lt;('2. Inputs and results'!$C$23+1),U19+((G20+I20+H20+J20-$V$6+T20)/((1+$P$2)^A20)),NA())</f>
        <v>33042.065833666362</v>
      </c>
      <c r="V20" s="4">
        <f>IF(A20&lt;('2. Inputs and results'!$C$23+1),V19+('2. Inputs and results'!$C$77*'2. Inputs and results'!$C$75)," ")</f>
        <v>105000</v>
      </c>
      <c r="W20" s="4">
        <f>IF(A20&lt;('2. Inputs and results'!$C$23+1),W19+C20+Y20-$V$6,NA())</f>
        <v>68699.225080714503</v>
      </c>
      <c r="X20" s="4">
        <f>IF(A20&lt;('2. Inputs and results'!$C$23+1),'2. Inputs and results'!$C$81*(W19)," ")</f>
        <v>367.98450161429008</v>
      </c>
      <c r="Y20" s="4">
        <f t="shared" si="2"/>
        <v>0</v>
      </c>
      <c r="Z20" s="4">
        <f>IF(A20&lt;('2. Inputs and results'!$C$23+1),Z19+((C20-$V$6+Y20)/((1+$P$2)^A20)),NA())</f>
        <v>-110045.12283770749</v>
      </c>
      <c r="AA20" s="4">
        <f>IF(A20&lt;('2. Inputs and results'!$C$23+1),AA19+G20+I20+H20+T20-$V$6," ")</f>
        <v>880610.37475487415</v>
      </c>
      <c r="AB20" s="11">
        <f>IF(A20&lt;('2. Inputs and results'!$C$23+1),AA20/L20,NA())</f>
        <v>1.4800174365628136</v>
      </c>
      <c r="AC20" s="12">
        <f>IF(A20&lt;('2. Inputs and results'!$C$23+1),AC19+C20+Y20-$V$6," ")</f>
        <v>663699.22508071456</v>
      </c>
      <c r="AD20" s="11">
        <f>IF(A20&lt;('2. Inputs and results'!$C$23+1),AC20/L20,NA())</f>
        <v>1.1154608824885959</v>
      </c>
      <c r="AE20">
        <f>IF(A20&lt;('2. Inputs and results'!$C$23+1),-'2. Inputs and results'!$C$124*A20," ")</f>
        <v>-1530000</v>
      </c>
      <c r="AF20">
        <f>IF(A20&lt;('2. Inputs and results'!$C$23+1),AE20/1000,NA())</f>
        <v>-1530</v>
      </c>
    </row>
    <row r="21" spans="1:32">
      <c r="A21">
        <f t="shared" si="0"/>
        <v>16</v>
      </c>
      <c r="B21">
        <f>IF(A21&lt;('2. Inputs and results'!$C$23+1),A21," ")</f>
        <v>16</v>
      </c>
      <c r="C21" s="4">
        <f>IF(A21&lt;('2. Inputs and results'!$C$23+1),'2. Inputs and results'!$C$101+'2. Inputs and results'!$C$103," ")</f>
        <v>57300</v>
      </c>
      <c r="D21" s="4">
        <f>IF(A21&lt;('2. Inputs and results'!$C$23+1),D20+C21,NA())</f>
        <v>916800</v>
      </c>
      <c r="E21" s="4">
        <f>IF(A21&lt;('2. Inputs and results'!$C$23+1),C21/((1+$P$2)^A21)," ")</f>
        <v>30592.938466798692</v>
      </c>
      <c r="F21" s="4">
        <f>IF(B21&lt;('2. Inputs and results'!$C$23+1),F20+E21," ")</f>
        <v>667676.53833003191</v>
      </c>
      <c r="G21" s="4">
        <f>IF(A21&lt;('2. Inputs and results'!$C$23+1),G20*(1+'2. Inputs and results'!$C$46)," ")</f>
        <v>91141.093871144767</v>
      </c>
      <c r="H21" s="4">
        <f>IF(A21&lt;('2. Inputs and results'!$C$23+1),H20*(1+'2. Inputs and results'!$C$58)," ")</f>
        <v>0</v>
      </c>
      <c r="I21" s="4">
        <f>IF(A21&lt;('2. Inputs and results'!$C$23+1),I20*(1+'2. Inputs and results'!$C$34)," ")</f>
        <v>-1869.5608999209178</v>
      </c>
      <c r="J21" s="4">
        <f>IF(A21&lt;('2. Inputs and results'!$C$23+1),J20*(1+'2. Inputs and results'!$C$68)," ")</f>
        <v>0</v>
      </c>
      <c r="K21" s="4">
        <f>IF(A21&lt;('2. Inputs and results'!$C$23+1),K20+(G21+I21+H21+J21),NA())</f>
        <v>1154989.2986786845</v>
      </c>
      <c r="L21" s="4">
        <f>IF(A21&lt;('2. Inputs and results'!$C$23+1),L20,NA())</f>
        <v>595000</v>
      </c>
      <c r="M21" s="4">
        <f>IF(A21&lt;('2. Inputs and results'!$C$23+1),'2. Inputs and results'!$C$77*'2. Inputs and results'!$C$75," ")</f>
        <v>7000</v>
      </c>
      <c r="N21" s="4">
        <f>IF(A21&lt;('2. Inputs and results'!$C$23+1),M21/((1+$P$2)^A21)," ")</f>
        <v>3737.3572298008876</v>
      </c>
      <c r="O21" s="4">
        <f>IF(A21&lt;('2. Inputs and results'!$C$23+1),'2. Inputs and results'!$C$75*'2. Inputs and results'!$C$77+O20," ")</f>
        <v>700000</v>
      </c>
      <c r="P21" s="4">
        <f>IF(A21&lt;('2. Inputs and results'!$C$23+1),(G21+I21+H21+J21)/((1+$P$2)^A21)," ")</f>
        <v>47662.801309344533</v>
      </c>
      <c r="Q21" s="4">
        <f>IF(A21&lt;('2. Inputs and results'!$C$23+1),Q20+P21," ")</f>
        <v>820731.46513751126</v>
      </c>
      <c r="R21" s="4">
        <f>IF(A21&lt;('2. Inputs and results'!$C$23+1),R20+G21+I21+H21+J21+T21-$V$6,NA())</f>
        <v>367881.90772609808</v>
      </c>
      <c r="S21" s="4">
        <f>IF(A21&lt;('2. Inputs and results'!$C$23+1),'2. Inputs and results'!$C$81*(R20)," ")</f>
        <v>5712.2074950974857</v>
      </c>
      <c r="T21" s="4">
        <f t="shared" si="1"/>
        <v>0</v>
      </c>
      <c r="U21" s="4">
        <f>IF(A21&lt;('2. Inputs and results'!$C$23+1),U20+((G21+I21+H21+J21-$V$6+T21)/((1+$P$2)^A21)),NA())</f>
        <v>76967.50991321</v>
      </c>
      <c r="V21" s="4">
        <f>IF(A21&lt;('2. Inputs and results'!$C$23+1),V20+('2. Inputs and results'!$C$77*'2. Inputs and results'!$C$75)," ")</f>
        <v>112000</v>
      </c>
      <c r="W21" s="4">
        <f>IF(A21&lt;('2. Inputs and results'!$C$23+1),W20+C21+Y21-$V$6,NA())</f>
        <v>118999.2250807145</v>
      </c>
      <c r="X21" s="4">
        <f>IF(A21&lt;('2. Inputs and results'!$C$23+1),'2. Inputs and results'!$C$81*(W20)," ")</f>
        <v>1373.9845016142901</v>
      </c>
      <c r="Y21" s="4">
        <f t="shared" si="2"/>
        <v>0</v>
      </c>
      <c r="Z21" s="4">
        <f>IF(A21&lt;('2. Inputs and results'!$C$23+1),Z20+((C21-$V$6+Y21)/((1+$P$2)^A21)),NA())</f>
        <v>-83189.541600709679</v>
      </c>
      <c r="AA21" s="4">
        <f>IF(A21&lt;('2. Inputs and results'!$C$23+1),AA20+G21+I21+H21+T21-$V$6," ")</f>
        <v>962881.90772609808</v>
      </c>
      <c r="AB21" s="11">
        <f>IF(A21&lt;('2. Inputs and results'!$C$23+1),AA21/L21,NA())</f>
        <v>1.6182889205480639</v>
      </c>
      <c r="AC21" s="12">
        <f>IF(A21&lt;('2. Inputs and results'!$C$23+1),AC20+C21+Y21-$V$6," ")</f>
        <v>713999.22508071456</v>
      </c>
      <c r="AD21" s="11">
        <f>IF(A21&lt;('2. Inputs and results'!$C$23+1),AC21/L21,NA())</f>
        <v>1.1999986976146464</v>
      </c>
      <c r="AE21">
        <f>IF(A21&lt;('2. Inputs and results'!$C$23+1),-'2. Inputs and results'!$C$124*A21," ")</f>
        <v>-1632000</v>
      </c>
      <c r="AF21">
        <f>IF(A21&lt;('2. Inputs and results'!$C$23+1),AE21/1000,NA())</f>
        <v>-1632</v>
      </c>
    </row>
    <row r="22" spans="1:32">
      <c r="A22">
        <f t="shared" si="0"/>
        <v>17</v>
      </c>
      <c r="B22">
        <f>IF(A22&lt;('2. Inputs and results'!$C$23+1),A22," ")</f>
        <v>17</v>
      </c>
      <c r="C22" s="4">
        <f>IF(A22&lt;('2. Inputs and results'!$C$23+1),'2. Inputs and results'!$C$101+'2. Inputs and results'!$C$103," ")</f>
        <v>57300</v>
      </c>
      <c r="D22" s="4">
        <f>IF(A22&lt;('2. Inputs and results'!$C$23+1),D21+C22,NA())</f>
        <v>974100</v>
      </c>
      <c r="E22" s="4">
        <f>IF(A22&lt;('2. Inputs and results'!$C$23+1),C22/((1+$P$2)^A22)," ")</f>
        <v>29416.286987306434</v>
      </c>
      <c r="F22" s="4">
        <f>IF(B22&lt;('2. Inputs and results'!$C$23+1),F21+E22," ")</f>
        <v>697092.82531733834</v>
      </c>
      <c r="G22" s="4">
        <f>IF(A22&lt;('2. Inputs and results'!$C$23+1),G21*(1+'2. Inputs and results'!$C$46)," ")</f>
        <v>93875.326687279114</v>
      </c>
      <c r="H22" s="4">
        <f>IF(A22&lt;('2. Inputs and results'!$C$23+1),H21*(1+'2. Inputs and results'!$C$58)," ")</f>
        <v>0</v>
      </c>
      <c r="I22" s="4">
        <f>IF(A22&lt;('2. Inputs and results'!$C$23+1),I21*(1+'2. Inputs and results'!$C$34)," ")</f>
        <v>-1925.6477269185455</v>
      </c>
      <c r="J22" s="4">
        <f>IF(A22&lt;('2. Inputs and results'!$C$23+1),J21*(1+'2. Inputs and results'!$C$68)," ")</f>
        <v>0</v>
      </c>
      <c r="K22" s="4">
        <f>IF(A22&lt;('2. Inputs and results'!$C$23+1),K21+(G22+I22+H22+J22),NA())</f>
        <v>1246938.9776390451</v>
      </c>
      <c r="L22" s="4">
        <f>IF(A22&lt;('2. Inputs and results'!$C$23+1),L21,NA())</f>
        <v>595000</v>
      </c>
      <c r="M22" s="4">
        <f>IF(A22&lt;('2. Inputs and results'!$C$23+1),'2. Inputs and results'!$C$77*'2. Inputs and results'!$C$75," ")</f>
        <v>7000</v>
      </c>
      <c r="N22" s="4">
        <f>IF(A22&lt;('2. Inputs and results'!$C$23+1),M22/((1+$P$2)^A22)," ")</f>
        <v>3593.6127209623914</v>
      </c>
      <c r="O22" s="4">
        <f>IF(A22&lt;('2. Inputs and results'!$C$23+1),'2. Inputs and results'!$C$75*'2. Inputs and results'!$C$77+O21," ")</f>
        <v>707000</v>
      </c>
      <c r="P22" s="4">
        <f>IF(A22&lt;('2. Inputs and results'!$C$23+1),(G22+I22+H22+J22)/((1+$P$2)^A22)," ")</f>
        <v>47204.505142908536</v>
      </c>
      <c r="Q22" s="4">
        <f>IF(A22&lt;('2. Inputs and results'!$C$23+1),Q21+P22," ")</f>
        <v>867935.9702804198</v>
      </c>
      <c r="R22" s="4">
        <f>IF(A22&lt;('2. Inputs and results'!$C$23+1),R21+G22+I22+H22+J22+T22-$V$6,NA())</f>
        <v>452831.58668645861</v>
      </c>
      <c r="S22" s="4">
        <f>IF(A22&lt;('2. Inputs and results'!$C$23+1),'2. Inputs and results'!$C$81*(R21)," ")</f>
        <v>7357.638154521962</v>
      </c>
      <c r="T22" s="4">
        <f t="shared" si="1"/>
        <v>0</v>
      </c>
      <c r="U22" s="4">
        <f>IF(A22&lt;('2. Inputs and results'!$C$23+1),U21+((G22+I22+H22+J22-$V$6+T22)/((1+$P$2)^A22)),NA())</f>
        <v>120578.40233515613</v>
      </c>
      <c r="V22" s="4">
        <f>IF(A22&lt;('2. Inputs and results'!$C$23+1),V21+('2. Inputs and results'!$C$77*'2. Inputs and results'!$C$75)," ")</f>
        <v>119000</v>
      </c>
      <c r="W22" s="4">
        <f>IF(A22&lt;('2. Inputs and results'!$C$23+1),W21+C22+Y22-$V$6,NA())</f>
        <v>169299.2250807145</v>
      </c>
      <c r="X22" s="4">
        <f>IF(A22&lt;('2. Inputs and results'!$C$23+1),'2. Inputs and results'!$C$81*(W21)," ")</f>
        <v>2379.9845016142899</v>
      </c>
      <c r="Y22" s="4">
        <f t="shared" si="2"/>
        <v>0</v>
      </c>
      <c r="Z22" s="4">
        <f>IF(A22&lt;('2. Inputs and results'!$C$23+1),Z21+((C22-$V$6+Y22)/((1+$P$2)^A22)),NA())</f>
        <v>-57366.867334365641</v>
      </c>
      <c r="AA22" s="4">
        <f>IF(A22&lt;('2. Inputs and results'!$C$23+1),AA21+G22+I22+H22+T22-$V$6," ")</f>
        <v>1047831.5866864587</v>
      </c>
      <c r="AB22" s="11">
        <f>IF(A22&lt;('2. Inputs and results'!$C$23+1),AA22/L22,NA())</f>
        <v>1.7610614902293422</v>
      </c>
      <c r="AC22" s="12">
        <f>IF(A22&lt;('2. Inputs and results'!$C$23+1),AC21+C22+Y22-$V$6," ")</f>
        <v>764299.22508071456</v>
      </c>
      <c r="AD22" s="11">
        <f>IF(A22&lt;('2. Inputs and results'!$C$23+1),AC22/L22,NA())</f>
        <v>1.2845365127406967</v>
      </c>
      <c r="AE22">
        <f>IF(A22&lt;('2. Inputs and results'!$C$23+1),-'2. Inputs and results'!$C$124*A22," ")</f>
        <v>-1734000</v>
      </c>
      <c r="AF22">
        <f>IF(A22&lt;('2. Inputs and results'!$C$23+1),AE22/1000,NA())</f>
        <v>-1734</v>
      </c>
    </row>
    <row r="23" spans="1:32">
      <c r="A23">
        <f t="shared" si="0"/>
        <v>18</v>
      </c>
      <c r="B23">
        <f>IF(A23&lt;('2. Inputs and results'!$C$23+1),A23," ")</f>
        <v>18</v>
      </c>
      <c r="C23" s="4">
        <f>IF(A23&lt;('2. Inputs and results'!$C$23+1),'2. Inputs and results'!$C$101+'2. Inputs and results'!$C$103," ")</f>
        <v>57300</v>
      </c>
      <c r="D23" s="4">
        <f>IF(A23&lt;('2. Inputs and results'!$C$23+1),D22+C23,NA())</f>
        <v>1031400</v>
      </c>
      <c r="E23" s="4">
        <f>IF(A23&lt;('2. Inputs and results'!$C$23+1),C23/((1+$P$2)^A23)," ")</f>
        <v>28284.891333948493</v>
      </c>
      <c r="F23" s="4">
        <f>IF(B23&lt;('2. Inputs and results'!$C$23+1),F22+E23," ")</f>
        <v>725377.71665128681</v>
      </c>
      <c r="G23" s="4">
        <f>IF(A23&lt;('2. Inputs and results'!$C$23+1),G22*(1+'2. Inputs and results'!$C$46)," ")</f>
        <v>96691.586487897483</v>
      </c>
      <c r="H23" s="4">
        <f>IF(A23&lt;('2. Inputs and results'!$C$23+1),H22*(1+'2. Inputs and results'!$C$58)," ")</f>
        <v>0</v>
      </c>
      <c r="I23" s="4">
        <f>IF(A23&lt;('2. Inputs and results'!$C$23+1),I22*(1+'2. Inputs and results'!$C$34)," ")</f>
        <v>-1983.4171587261019</v>
      </c>
      <c r="J23" s="4">
        <f>IF(A23&lt;('2. Inputs and results'!$C$23+1),J22*(1+'2. Inputs and results'!$C$68)," ")</f>
        <v>0</v>
      </c>
      <c r="K23" s="4">
        <f>IF(A23&lt;('2. Inputs and results'!$C$23+1),K22+(G23+I23+H23+J23),NA())</f>
        <v>1341647.1469682164</v>
      </c>
      <c r="L23" s="4">
        <f>IF(A23&lt;('2. Inputs and results'!$C$23+1),L22,NA())</f>
        <v>595000</v>
      </c>
      <c r="M23" s="4">
        <f>IF(A23&lt;('2. Inputs and results'!$C$23+1),'2. Inputs and results'!$C$77*'2. Inputs and results'!$C$75," ")</f>
        <v>7000</v>
      </c>
      <c r="N23" s="4">
        <f>IF(A23&lt;('2. Inputs and results'!$C$23+1),M23/((1+$P$2)^A23)," ")</f>
        <v>3455.3968470792224</v>
      </c>
      <c r="O23" s="4">
        <f>IF(A23&lt;('2. Inputs and results'!$C$23+1),'2. Inputs and results'!$C$75*'2. Inputs and results'!$C$77+O22," ")</f>
        <v>714000</v>
      </c>
      <c r="P23" s="4">
        <f>IF(A23&lt;('2. Inputs and results'!$C$23+1),(G23+I23+H23+J23)/((1+$P$2)^A23)," ")</f>
        <v>46750.615670380554</v>
      </c>
      <c r="Q23" s="4">
        <f>IF(A23&lt;('2. Inputs and results'!$C$23+1),Q22+P23," ")</f>
        <v>914686.58595080033</v>
      </c>
      <c r="R23" s="4">
        <f>IF(A23&lt;('2. Inputs and results'!$C$23+1),R22+G23+I23+H23+J23+T23-$V$6,NA())</f>
        <v>540539.75601562997</v>
      </c>
      <c r="S23" s="4">
        <f>IF(A23&lt;('2. Inputs and results'!$C$23+1),'2. Inputs and results'!$C$81*(R22)," ")</f>
        <v>9056.631733729173</v>
      </c>
      <c r="T23" s="4">
        <f t="shared" si="1"/>
        <v>0</v>
      </c>
      <c r="U23" s="4">
        <f>IF(A23&lt;('2. Inputs and results'!$C$23+1),U22+((G23+I23+H23+J23-$V$6+T23)/((1+$P$2)^A23)),NA())</f>
        <v>163873.62115845748</v>
      </c>
      <c r="V23" s="4">
        <f>IF(A23&lt;('2. Inputs and results'!$C$23+1),V22+('2. Inputs and results'!$C$77*'2. Inputs and results'!$C$75)," ")</f>
        <v>126000</v>
      </c>
      <c r="W23" s="4">
        <f>IF(A23&lt;('2. Inputs and results'!$C$23+1),W22+C23+Y23-$V$6,NA())</f>
        <v>219599.2250807145</v>
      </c>
      <c r="X23" s="4">
        <f>IF(A23&lt;('2. Inputs and results'!$C$23+1),'2. Inputs and results'!$C$81*(W22)," ")</f>
        <v>3385.9845016142899</v>
      </c>
      <c r="Y23" s="4">
        <f t="shared" si="2"/>
        <v>0</v>
      </c>
      <c r="Z23" s="4">
        <f>IF(A23&lt;('2. Inputs and results'!$C$23+1),Z22+((C23-$V$6+Y23)/((1+$P$2)^A23)),NA())</f>
        <v>-32537.372847496372</v>
      </c>
      <c r="AA23" s="4">
        <f>IF(A23&lt;('2. Inputs and results'!$C$23+1),AA22+G23+I23+H23+T23-$V$6," ")</f>
        <v>1135539.75601563</v>
      </c>
      <c r="AB23" s="11">
        <f>IF(A23&lt;('2. Inputs and results'!$C$23+1),AA23/L23,NA())</f>
        <v>1.9084701781775293</v>
      </c>
      <c r="AC23" s="12">
        <f>IF(A23&lt;('2. Inputs and results'!$C$23+1),AC22+C23+Y23-$V$6," ")</f>
        <v>814599.22508071456</v>
      </c>
      <c r="AD23" s="11">
        <f>IF(A23&lt;('2. Inputs and results'!$C$23+1),AC23/L23,NA())</f>
        <v>1.3690743278667472</v>
      </c>
      <c r="AE23">
        <f>IF(A23&lt;('2. Inputs and results'!$C$23+1),-'2. Inputs and results'!$C$124*A23," ")</f>
        <v>-1836000</v>
      </c>
      <c r="AF23">
        <f>IF(A23&lt;('2. Inputs and results'!$C$23+1),AE23/1000,NA())</f>
        <v>-1836</v>
      </c>
    </row>
    <row r="24" spans="1:32">
      <c r="A24">
        <f t="shared" si="0"/>
        <v>19</v>
      </c>
      <c r="B24">
        <f>IF(A24&lt;('2. Inputs and results'!$C$23+1),A24," ")</f>
        <v>19</v>
      </c>
      <c r="C24" s="4">
        <f>IF(A24&lt;('2. Inputs and results'!$C$23+1),'2. Inputs and results'!$C$101+'2. Inputs and results'!$C$103," ")</f>
        <v>57300</v>
      </c>
      <c r="D24" s="4">
        <f>IF(A24&lt;('2. Inputs and results'!$C$23+1),D23+C24,NA())</f>
        <v>1088700</v>
      </c>
      <c r="E24" s="4">
        <f>IF(A24&lt;('2. Inputs and results'!$C$23+1),C24/((1+$P$2)^A24)," ")</f>
        <v>27197.010898027398</v>
      </c>
      <c r="F24" s="4">
        <f>IF(B24&lt;('2. Inputs and results'!$C$23+1),F23+E24," ")</f>
        <v>752574.72754931427</v>
      </c>
      <c r="G24" s="4">
        <f>IF(A24&lt;('2. Inputs and results'!$C$23+1),G23*(1+'2. Inputs and results'!$C$46)," ")</f>
        <v>99592.334082534406</v>
      </c>
      <c r="H24" s="4">
        <f>IF(A24&lt;('2. Inputs and results'!$C$23+1),H23*(1+'2. Inputs and results'!$C$58)," ")</f>
        <v>0</v>
      </c>
      <c r="I24" s="4">
        <f>IF(A24&lt;('2. Inputs and results'!$C$23+1),I23*(1+'2. Inputs and results'!$C$34)," ")</f>
        <v>-2042.9196734878849</v>
      </c>
      <c r="J24" s="4">
        <f>IF(A24&lt;('2. Inputs and results'!$C$23+1),J23*(1+'2. Inputs and results'!$C$68)," ")</f>
        <v>0</v>
      </c>
      <c r="K24" s="4">
        <f>IF(A24&lt;('2. Inputs and results'!$C$23+1),K23+(G24+I24+H24+J24),NA())</f>
        <v>1439196.5613772629</v>
      </c>
      <c r="L24" s="4">
        <f>IF(A24&lt;('2. Inputs and results'!$C$23+1),L23,NA())</f>
        <v>595000</v>
      </c>
      <c r="M24" s="4">
        <f>IF(A24&lt;('2. Inputs and results'!$C$23+1),'2. Inputs and results'!$C$77*'2. Inputs and results'!$C$75," ")</f>
        <v>7000</v>
      </c>
      <c r="N24" s="4">
        <f>IF(A24&lt;('2. Inputs and results'!$C$23+1),M24/((1+$P$2)^A24)," ")</f>
        <v>3322.4969683454065</v>
      </c>
      <c r="O24" s="4">
        <f>IF(A24&lt;('2. Inputs and results'!$C$23+1),'2. Inputs and results'!$C$75*'2. Inputs and results'!$C$77+O23," ")</f>
        <v>721000</v>
      </c>
      <c r="P24" s="4">
        <f>IF(A24&lt;('2. Inputs and results'!$C$23+1),(G24+I24+H24+J24)/((1+$P$2)^A24)," ")</f>
        <v>46301.090519703823</v>
      </c>
      <c r="Q24" s="4">
        <f>IF(A24&lt;('2. Inputs and results'!$C$23+1),Q23+P24," ")</f>
        <v>960987.67647050414</v>
      </c>
      <c r="R24" s="4">
        <f>IF(A24&lt;('2. Inputs and results'!$C$23+1),R23+G24+I24+H24+J24+T24-$V$6,NA())</f>
        <v>631089.1704246765</v>
      </c>
      <c r="S24" s="4">
        <f>IF(A24&lt;('2. Inputs and results'!$C$23+1),'2. Inputs and results'!$C$81*(R23)," ")</f>
        <v>10810.795120312599</v>
      </c>
      <c r="T24" s="4">
        <f t="shared" si="1"/>
        <v>0</v>
      </c>
      <c r="U24" s="4">
        <f>IF(A24&lt;('2. Inputs and results'!$C$23+1),U23+((G24+I24+H24+J24-$V$6+T24)/((1+$P$2)^A24)),NA())</f>
        <v>206852.21470981589</v>
      </c>
      <c r="V24" s="4">
        <f>IF(A24&lt;('2. Inputs and results'!$C$23+1),V23+('2. Inputs and results'!$C$77*'2. Inputs and results'!$C$75)," ")</f>
        <v>133000</v>
      </c>
      <c r="W24" s="4">
        <f>IF(A24&lt;('2. Inputs and results'!$C$23+1),W23+C24+Y24-$V$6,NA())</f>
        <v>269899.2250807145</v>
      </c>
      <c r="X24" s="4">
        <f>IF(A24&lt;('2. Inputs and results'!$C$23+1),'2. Inputs and results'!$C$81*(W23)," ")</f>
        <v>4391.9845016142899</v>
      </c>
      <c r="Y24" s="4">
        <f t="shared" si="2"/>
        <v>0</v>
      </c>
      <c r="Z24" s="4">
        <f>IF(A24&lt;('2. Inputs and results'!$C$23+1),Z23+((C24-$V$6+Y24)/((1+$P$2)^A24)),NA())</f>
        <v>-8662.8589178143811</v>
      </c>
      <c r="AA24" s="4">
        <f>IF(A24&lt;('2. Inputs and results'!$C$23+1),AA23+G24+I24+H24+T24-$V$6," ")</f>
        <v>1226089.1704246765</v>
      </c>
      <c r="AB24" s="11">
        <f>IF(A24&lt;('2. Inputs and results'!$C$23+1),AA24/L24,NA())</f>
        <v>2.0606540679406327</v>
      </c>
      <c r="AC24" s="12">
        <f>IF(A24&lt;('2. Inputs and results'!$C$23+1),AC23+C24+Y24-$V$6," ")</f>
        <v>864899.22508071456</v>
      </c>
      <c r="AD24" s="11">
        <f>IF(A24&lt;('2. Inputs and results'!$C$23+1),AC24/L24,NA())</f>
        <v>1.4536121429927975</v>
      </c>
      <c r="AE24">
        <f>IF(A24&lt;('2. Inputs and results'!$C$23+1),-'2. Inputs and results'!$C$124*A24," ")</f>
        <v>-1938000</v>
      </c>
      <c r="AF24">
        <f>IF(A24&lt;('2. Inputs and results'!$C$23+1),AE24/1000,NA())</f>
        <v>-1938</v>
      </c>
    </row>
    <row r="25" spans="1:32">
      <c r="A25">
        <f t="shared" si="0"/>
        <v>20</v>
      </c>
      <c r="B25">
        <f>IF(A25&lt;('2. Inputs and results'!$C$23+1),A25," ")</f>
        <v>20</v>
      </c>
      <c r="C25" s="4">
        <f>IF(A25&lt;('2. Inputs and results'!$C$23+1),'2. Inputs and results'!$C$101+'2. Inputs and results'!$C$103," ")</f>
        <v>57300</v>
      </c>
      <c r="D25" s="4">
        <f>IF(A25&lt;('2. Inputs and results'!$C$23+1),D24+C25,NA())</f>
        <v>1146000</v>
      </c>
      <c r="E25" s="4">
        <f>IF(A25&lt;('2. Inputs and results'!$C$23+1),C25/((1+$P$2)^A25)," ")</f>
        <v>26150.972017334036</v>
      </c>
      <c r="F25" s="4">
        <f>IF(B25&lt;('2. Inputs and results'!$C$23+1),F24+E25," ")</f>
        <v>778725.69956664834</v>
      </c>
      <c r="G25" s="4">
        <f>IF(A25&lt;('2. Inputs and results'!$C$23+1),G24*(1+'2. Inputs and results'!$C$46)," ")</f>
        <v>102580.10410501044</v>
      </c>
      <c r="H25" s="4">
        <f>IF(A25&lt;('2. Inputs and results'!$C$23+1),H24*(1+'2. Inputs and results'!$C$58)," ")</f>
        <v>0</v>
      </c>
      <c r="I25" s="4">
        <f>IF(A25&lt;('2. Inputs and results'!$C$23+1),I24*(1+'2. Inputs and results'!$C$34)," ")</f>
        <v>-2104.2072636925213</v>
      </c>
      <c r="J25" s="4">
        <f>IF(A25&lt;('2. Inputs and results'!$C$23+1),J24*(1+'2. Inputs and results'!$C$68)," ")</f>
        <v>0</v>
      </c>
      <c r="K25" s="4">
        <f>IF(A25&lt;('2. Inputs and results'!$C$23+1),K24+(G25+I25+H25+J25),NA())</f>
        <v>1539672.4582185808</v>
      </c>
      <c r="L25" s="4">
        <f>IF(A25&lt;('2. Inputs and results'!$C$23+1),L24,NA())</f>
        <v>595000</v>
      </c>
      <c r="M25" s="4">
        <f>IF(A25&lt;('2. Inputs and results'!$C$23+1),'2. Inputs and results'!$C$77*'2. Inputs and results'!$C$75," ")</f>
        <v>7000</v>
      </c>
      <c r="N25" s="4">
        <f>IF(A25&lt;('2. Inputs and results'!$C$23+1),M25/((1+$P$2)^A25)," ")</f>
        <v>3194.7086234090443</v>
      </c>
      <c r="O25" s="4">
        <f>IF(A25&lt;('2. Inputs and results'!$C$23+1),'2. Inputs and results'!$C$75*'2. Inputs and results'!$C$77+O24," ")</f>
        <v>728000</v>
      </c>
      <c r="P25" s="4">
        <f>IF(A25&lt;('2. Inputs and results'!$C$23+1),(G25+I25+H25+J25)/((1+$P$2)^A25)," ")</f>
        <v>45855.887726245135</v>
      </c>
      <c r="Q25" s="4">
        <f>IF(A25&lt;('2. Inputs and results'!$C$23+1),Q24+P25," ")</f>
        <v>1006843.5641967492</v>
      </c>
      <c r="R25" s="4">
        <f>IF(A25&lt;('2. Inputs and results'!$C$23+1),R24+G25+I25+H25+J25+T25-$V$6,NA())</f>
        <v>724565.06726599438</v>
      </c>
      <c r="S25" s="4">
        <f>IF(A25&lt;('2. Inputs and results'!$C$23+1),'2. Inputs and results'!$C$81*(R24)," ")</f>
        <v>12621.783408493531</v>
      </c>
      <c r="T25" s="4">
        <f t="shared" si="1"/>
        <v>0</v>
      </c>
      <c r="U25" s="4">
        <f>IF(A25&lt;('2. Inputs and results'!$C$23+1),U24+((G25+I25+H25+J25-$V$6+T25)/((1+$P$2)^A25)),NA())</f>
        <v>249513.39381265198</v>
      </c>
      <c r="V25" s="4">
        <f>IF(A25&lt;('2. Inputs and results'!$C$23+1),V24+('2. Inputs and results'!$C$77*'2. Inputs and results'!$C$75)," ")</f>
        <v>140000</v>
      </c>
      <c r="W25" s="4">
        <f>IF(A25&lt;('2. Inputs and results'!$C$23+1),W24+C25+Y25-$V$6,NA())</f>
        <v>320199.2250807145</v>
      </c>
      <c r="X25" s="4">
        <f>IF(A25&lt;('2. Inputs and results'!$C$23+1),'2. Inputs and results'!$C$81*(W24)," ")</f>
        <v>5397.9845016142899</v>
      </c>
      <c r="Y25" s="4">
        <f t="shared" si="2"/>
        <v>0</v>
      </c>
      <c r="Z25" s="4">
        <f>IF(A25&lt;('2. Inputs and results'!$C$23+1),Z24+((C25-$V$6+Y25)/((1+$P$2)^A25)),NA())</f>
        <v>14293.404476110609</v>
      </c>
      <c r="AA25" s="4">
        <f>IF(A25&lt;('2. Inputs and results'!$C$23+1),AA24+G25+I25+H25+T25-$V$6," ")</f>
        <v>1319565.0672659944</v>
      </c>
      <c r="AB25" s="11">
        <f>IF(A25&lt;('2. Inputs and results'!$C$23+1),AA25/L25,NA())</f>
        <v>2.2177564155731</v>
      </c>
      <c r="AC25" s="12">
        <f>IF(A25&lt;('2. Inputs and results'!$C$23+1),AC24+C25+Y25-$V$6," ")</f>
        <v>915199.22508071456</v>
      </c>
      <c r="AD25" s="11">
        <f>IF(A25&lt;('2. Inputs and results'!$C$23+1),AC25/L25,NA())</f>
        <v>1.538149958118848</v>
      </c>
      <c r="AE25">
        <f>IF(A25&lt;('2. Inputs and results'!$C$23+1),-'2. Inputs and results'!$C$124*A25," ")</f>
        <v>-2040000</v>
      </c>
      <c r="AF25">
        <f>IF(A25&lt;('2. Inputs and results'!$C$23+1),AE25/1000,NA())</f>
        <v>-2040</v>
      </c>
    </row>
    <row r="26" spans="1:32">
      <c r="A26">
        <f t="shared" si="0"/>
        <v>21</v>
      </c>
      <c r="B26" t="str">
        <f>IF(A26&lt;('2. Inputs and results'!$C$23+1),A26," ")</f>
        <v xml:space="preserve"> </v>
      </c>
      <c r="C26" s="4" t="str">
        <f>IF(A26&lt;('2. Inputs and results'!$C$23+1),'2. Inputs and results'!$C$101+'2. Inputs and results'!$C$103," ")</f>
        <v xml:space="preserve"> </v>
      </c>
      <c r="D26" s="4" t="e">
        <f>IF(A26&lt;('2. Inputs and results'!$C$23+1),D25+C26,NA())</f>
        <v>#N/A</v>
      </c>
      <c r="E26" s="4" t="str">
        <f>IF(A26&lt;('2. Inputs and results'!$C$23+1),C26/((1+$P$2)^A26)," ")</f>
        <v xml:space="preserve"> </v>
      </c>
      <c r="F26" s="4" t="str">
        <f>IF(B26&lt;('2. Inputs and results'!$C$23+1),F25+E26," ")</f>
        <v xml:space="preserve"> </v>
      </c>
      <c r="G26" s="4" t="str">
        <f>IF(A26&lt;('2. Inputs and results'!$C$23+1),G25*(1+'2. Inputs and results'!$C$46)," ")</f>
        <v xml:space="preserve"> </v>
      </c>
      <c r="H26" s="4" t="str">
        <f>IF(A26&lt;('2. Inputs and results'!$C$23+1),H25*(1+'2. Inputs and results'!$C$58)," ")</f>
        <v xml:space="preserve"> </v>
      </c>
      <c r="I26" s="4" t="str">
        <f>IF(A26&lt;('2. Inputs and results'!$C$23+1),I25*(1+'2. Inputs and results'!$C$34)," ")</f>
        <v xml:space="preserve"> </v>
      </c>
      <c r="J26" s="4" t="str">
        <f>IF(A26&lt;('2. Inputs and results'!$C$23+1),J25*(1+'2. Inputs and results'!$C$68)," ")</f>
        <v xml:space="preserve"> </v>
      </c>
      <c r="K26" s="4" t="e">
        <f>IF(A26&lt;('2. Inputs and results'!$C$23+1),K25+(G26+I26+H26+J26),NA())</f>
        <v>#N/A</v>
      </c>
      <c r="L26" s="4" t="e">
        <f>IF(A26&lt;('2. Inputs and results'!$C$23+1),L25,NA())</f>
        <v>#N/A</v>
      </c>
      <c r="M26" s="4" t="str">
        <f>IF(A26&lt;('2. Inputs and results'!$C$23+1),'2. Inputs and results'!$C$77*'2. Inputs and results'!$C$75," ")</f>
        <v xml:space="preserve"> </v>
      </c>
      <c r="N26" s="4" t="str">
        <f>IF(A26&lt;('2. Inputs and results'!$C$23+1),M26/((1+$P$2)^A26)," ")</f>
        <v xml:space="preserve"> </v>
      </c>
      <c r="O26" s="4" t="str">
        <f>IF(A26&lt;('2. Inputs and results'!$C$23+1),'2. Inputs and results'!$C$75*'2. Inputs and results'!$C$77+O25," ")</f>
        <v xml:space="preserve"> </v>
      </c>
      <c r="P26" s="4" t="str">
        <f>IF(A26&lt;('2. Inputs and results'!$C$23+1),(G26+I26+H26+J26)/((1+$P$2)^A26)," ")</f>
        <v xml:space="preserve"> </v>
      </c>
      <c r="Q26" s="4" t="str">
        <f>IF(A26&lt;('2. Inputs and results'!$C$23+1),Q25+P26," ")</f>
        <v xml:space="preserve"> </v>
      </c>
      <c r="R26" s="4" t="e">
        <f>IF(A26&lt;('2. Inputs and results'!$C$23+1),R25+G26+I26+H26+J26+T26-$V$6,NA())</f>
        <v>#N/A</v>
      </c>
      <c r="S26" s="4" t="str">
        <f>IF(A26&lt;('2. Inputs and results'!$C$23+1),'2. Inputs and results'!$C$81*(R25)," ")</f>
        <v xml:space="preserve"> </v>
      </c>
      <c r="T26" s="4">
        <f t="shared" si="1"/>
        <v>0</v>
      </c>
      <c r="U26" s="4" t="e">
        <f>IF(A26&lt;('2. Inputs and results'!$C$23+1),U25+((G26+I26+H26+J26-$V$6+T26)/((1+$P$2)^A26)),NA())</f>
        <v>#N/A</v>
      </c>
      <c r="V26" s="4" t="str">
        <f>IF(A26&lt;('2. Inputs and results'!$C$23+1),V25+('2. Inputs and results'!$C$77*'2. Inputs and results'!$C$75)," ")</f>
        <v xml:space="preserve"> </v>
      </c>
      <c r="W26" s="4" t="e">
        <f>IF(A26&lt;('2. Inputs and results'!$C$23+1),W25+C26+Y26-$V$6,NA())</f>
        <v>#N/A</v>
      </c>
      <c r="X26" s="4" t="str">
        <f>IF(A26&lt;('2. Inputs and results'!$C$23+1),'2. Inputs and results'!$C$81*(W25)," ")</f>
        <v xml:space="preserve"> </v>
      </c>
      <c r="Y26" s="4">
        <f t="shared" si="2"/>
        <v>0</v>
      </c>
      <c r="Z26" s="4" t="e">
        <f>IF(A26&lt;('2. Inputs and results'!$C$23+1),Z25+((C26-$V$6+Y26)/((1+$P$2)^A26)),NA())</f>
        <v>#N/A</v>
      </c>
      <c r="AA26" s="4" t="str">
        <f>IF(A26&lt;('2. Inputs and results'!$C$23+1),AA25+G26+I26+H26+T26-$V$6," ")</f>
        <v xml:space="preserve"> </v>
      </c>
      <c r="AB26" s="11" t="e">
        <f>IF(A26&lt;('2. Inputs and results'!$C$23+1),AA26/L26,NA())</f>
        <v>#N/A</v>
      </c>
      <c r="AC26" s="12" t="str">
        <f>IF(A26&lt;('2. Inputs and results'!$C$23+1),AC25+C26+Y26-$V$6," ")</f>
        <v xml:space="preserve"> </v>
      </c>
      <c r="AD26" s="11" t="e">
        <f>IF(A26&lt;('2. Inputs and results'!$C$23+1),AC26/L26,NA())</f>
        <v>#N/A</v>
      </c>
      <c r="AE26" t="str">
        <f>IF(A26&lt;('2. Inputs and results'!$C$23+1),-'2. Inputs and results'!$C$124*A26," ")</f>
        <v xml:space="preserve"> </v>
      </c>
      <c r="AF26" t="e">
        <f>IF(A26&lt;('2. Inputs and results'!$C$23+1),AE26/1000,NA())</f>
        <v>#N/A</v>
      </c>
    </row>
    <row r="27" spans="1:32">
      <c r="A27">
        <f t="shared" si="0"/>
        <v>22</v>
      </c>
      <c r="B27" t="str">
        <f>IF(A27&lt;('2. Inputs and results'!$C$23+1),A27," ")</f>
        <v xml:space="preserve"> </v>
      </c>
      <c r="C27" s="4" t="str">
        <f>IF(A27&lt;('2. Inputs and results'!$C$23+1),'2. Inputs and results'!$C$101+'2. Inputs and results'!$C$103," ")</f>
        <v xml:space="preserve"> </v>
      </c>
      <c r="D27" s="4" t="e">
        <f>IF(A27&lt;('2. Inputs and results'!$C$23+1),D26+C27,NA())</f>
        <v>#N/A</v>
      </c>
      <c r="E27" s="4" t="str">
        <f>IF(A27&lt;('2. Inputs and results'!$C$23+1),C27/((1+$P$2)^A27)," ")</f>
        <v xml:space="preserve"> </v>
      </c>
      <c r="F27" s="4" t="str">
        <f>IF(B27&lt;('2. Inputs and results'!$C$23+1),F26+E27," ")</f>
        <v xml:space="preserve"> </v>
      </c>
      <c r="G27" s="4" t="str">
        <f>IF(A27&lt;('2. Inputs and results'!$C$23+1),G26*(1+'2. Inputs and results'!$C$46)," ")</f>
        <v xml:space="preserve"> </v>
      </c>
      <c r="H27" s="4" t="str">
        <f>IF(A27&lt;('2. Inputs and results'!$C$23+1),H26*(1+'2. Inputs and results'!$C$58)," ")</f>
        <v xml:space="preserve"> </v>
      </c>
      <c r="I27" s="4" t="str">
        <f>IF(A27&lt;('2. Inputs and results'!$C$23+1),I26*(1+'2. Inputs and results'!$C$34)," ")</f>
        <v xml:space="preserve"> </v>
      </c>
      <c r="J27" s="4" t="str">
        <f>IF(A27&lt;('2. Inputs and results'!$C$23+1),J26*(1+'2. Inputs and results'!$C$68)," ")</f>
        <v xml:space="preserve"> </v>
      </c>
      <c r="K27" s="4" t="e">
        <f>IF(A27&lt;('2. Inputs and results'!$C$23+1),K26+(G27+I27+H27+J27),NA())</f>
        <v>#N/A</v>
      </c>
      <c r="L27" s="4" t="e">
        <f>IF(A27&lt;('2. Inputs and results'!$C$23+1),L26,NA())</f>
        <v>#N/A</v>
      </c>
      <c r="M27" s="4" t="str">
        <f>IF(A27&lt;('2. Inputs and results'!$C$23+1),'2. Inputs and results'!$C$77*'2. Inputs and results'!$C$75," ")</f>
        <v xml:space="preserve"> </v>
      </c>
      <c r="N27" s="4" t="str">
        <f>IF(A27&lt;('2. Inputs and results'!$C$23+1),M27/((1+$P$2)^A27)," ")</f>
        <v xml:space="preserve"> </v>
      </c>
      <c r="O27" s="4" t="str">
        <f>IF(A27&lt;('2. Inputs and results'!$C$23+1),'2. Inputs and results'!$C$75*'2. Inputs and results'!$C$77+O26," ")</f>
        <v xml:space="preserve"> </v>
      </c>
      <c r="P27" s="4" t="str">
        <f>IF(A27&lt;('2. Inputs and results'!$C$23+1),(G27+I27+H27+J27)/((1+$P$2)^A27)," ")</f>
        <v xml:space="preserve"> </v>
      </c>
      <c r="Q27" s="4" t="str">
        <f>IF(A27&lt;('2. Inputs and results'!$C$23+1),Q26+P27," ")</f>
        <v xml:space="preserve"> </v>
      </c>
      <c r="R27" s="4" t="e">
        <f>IF(A27&lt;('2. Inputs and results'!$C$23+1),R26+G27+I27+H27+J27+T27-$V$6,NA())</f>
        <v>#N/A</v>
      </c>
      <c r="S27" s="4" t="str">
        <f>IF(A27&lt;('2. Inputs and results'!$C$23+1),'2. Inputs and results'!$C$81*(R26)," ")</f>
        <v xml:space="preserve"> </v>
      </c>
      <c r="T27" s="4">
        <f t="shared" si="1"/>
        <v>0</v>
      </c>
      <c r="U27" s="4" t="e">
        <f>IF(A27&lt;('2. Inputs and results'!$C$23+1),U26+((G27+I27+H27+J27-$V$6+T27)/((1+$P$2)^A27)),NA())</f>
        <v>#N/A</v>
      </c>
      <c r="V27" s="4" t="str">
        <f>IF(A27&lt;('2. Inputs and results'!$C$23+1),V26+('2. Inputs and results'!$C$77*'2. Inputs and results'!$C$75)," ")</f>
        <v xml:space="preserve"> </v>
      </c>
      <c r="W27" s="4" t="e">
        <f>IF(A27&lt;('2. Inputs and results'!$C$23+1),W26+C27+Y27-$V$6,NA())</f>
        <v>#N/A</v>
      </c>
      <c r="X27" s="4" t="str">
        <f>IF(A27&lt;('2. Inputs and results'!$C$23+1),'2. Inputs and results'!$C$81*(W26)," ")</f>
        <v xml:space="preserve"> </v>
      </c>
      <c r="Y27" s="4">
        <f t="shared" si="2"/>
        <v>0</v>
      </c>
      <c r="Z27" s="4" t="e">
        <f>IF(A27&lt;('2. Inputs and results'!$C$23+1),Z26+((C27-$V$6+Y27)/((1+$P$2)^A27)),NA())</f>
        <v>#N/A</v>
      </c>
      <c r="AA27" s="4" t="str">
        <f>IF(A27&lt;('2. Inputs and results'!$C$23+1),AA26+G27+I27+H27+T27-$V$6," ")</f>
        <v xml:space="preserve"> </v>
      </c>
      <c r="AB27" s="11" t="e">
        <f>IF(A27&lt;('2. Inputs and results'!$C$23+1),AA27/L27,NA())</f>
        <v>#N/A</v>
      </c>
      <c r="AC27" s="12" t="str">
        <f>IF(A27&lt;('2. Inputs and results'!$C$23+1),AC26+C27+Y27-$V$6," ")</f>
        <v xml:space="preserve"> </v>
      </c>
      <c r="AD27" s="11" t="e">
        <f>IF(A27&lt;('2. Inputs and results'!$C$23+1),AC27/L27,NA())</f>
        <v>#N/A</v>
      </c>
      <c r="AE27" t="str">
        <f>IF(A27&lt;('2. Inputs and results'!$C$23+1),-'2. Inputs and results'!$C$124*A27," ")</f>
        <v xml:space="preserve"> </v>
      </c>
      <c r="AF27" t="e">
        <f>IF(A27&lt;('2. Inputs and results'!$C$23+1),AE27/1000,NA())</f>
        <v>#N/A</v>
      </c>
    </row>
    <row r="28" spans="1:32">
      <c r="A28">
        <f t="shared" si="0"/>
        <v>23</v>
      </c>
      <c r="B28" t="str">
        <f>IF(A28&lt;('2. Inputs and results'!$C$23+1),A28," ")</f>
        <v xml:space="preserve"> </v>
      </c>
      <c r="C28" s="4" t="str">
        <f>IF(A28&lt;('2. Inputs and results'!$C$23+1),'2. Inputs and results'!$C$101+'2. Inputs and results'!$C$103," ")</f>
        <v xml:space="preserve"> </v>
      </c>
      <c r="D28" s="4" t="e">
        <f>IF(A28&lt;('2. Inputs and results'!$C$23+1),D27+C28,NA())</f>
        <v>#N/A</v>
      </c>
      <c r="E28" s="4" t="str">
        <f>IF(A28&lt;('2. Inputs and results'!$C$23+1),C28/((1+$P$2)^A28)," ")</f>
        <v xml:space="preserve"> </v>
      </c>
      <c r="F28" s="4" t="str">
        <f>IF(B28&lt;('2. Inputs and results'!$C$23+1),F27+E28," ")</f>
        <v xml:space="preserve"> </v>
      </c>
      <c r="G28" s="4" t="str">
        <f>IF(A28&lt;('2. Inputs and results'!$C$23+1),G27*(1+'2. Inputs and results'!$C$46)," ")</f>
        <v xml:space="preserve"> </v>
      </c>
      <c r="H28" s="4" t="str">
        <f>IF(A28&lt;('2. Inputs and results'!$C$23+1),H27*(1+'2. Inputs and results'!$C$58)," ")</f>
        <v xml:space="preserve"> </v>
      </c>
      <c r="I28" s="4" t="str">
        <f>IF(A28&lt;('2. Inputs and results'!$C$23+1),I27*(1+'2. Inputs and results'!$C$34)," ")</f>
        <v xml:space="preserve"> </v>
      </c>
      <c r="J28" s="4" t="str">
        <f>IF(A28&lt;('2. Inputs and results'!$C$23+1),J27*(1+'2. Inputs and results'!$C$68)," ")</f>
        <v xml:space="preserve"> </v>
      </c>
      <c r="K28" s="4" t="e">
        <f>IF(A28&lt;('2. Inputs and results'!$C$23+1),K27+(G28+I28+H28+J28),NA())</f>
        <v>#N/A</v>
      </c>
      <c r="L28" s="4" t="e">
        <f>IF(A28&lt;('2. Inputs and results'!$C$23+1),L27,NA())</f>
        <v>#N/A</v>
      </c>
      <c r="M28" s="4" t="str">
        <f>IF(A28&lt;('2. Inputs and results'!$C$23+1),'2. Inputs and results'!$C$77*'2. Inputs and results'!$C$75," ")</f>
        <v xml:space="preserve"> </v>
      </c>
      <c r="N28" s="4" t="str">
        <f>IF(A28&lt;('2. Inputs and results'!$C$23+1),M28/((1+$P$2)^A28)," ")</f>
        <v xml:space="preserve"> </v>
      </c>
      <c r="O28" s="4" t="str">
        <f>IF(A28&lt;('2. Inputs and results'!$C$23+1),'2. Inputs and results'!$C$75*'2. Inputs and results'!$C$77+O27," ")</f>
        <v xml:space="preserve"> </v>
      </c>
      <c r="P28" s="4" t="str">
        <f>IF(A28&lt;('2. Inputs and results'!$C$23+1),(G28+I28+H28+J28)/((1+$P$2)^A28)," ")</f>
        <v xml:space="preserve"> </v>
      </c>
      <c r="Q28" s="4" t="str">
        <f>IF(A28&lt;('2. Inputs and results'!$C$23+1),Q27+P28," ")</f>
        <v xml:space="preserve"> </v>
      </c>
      <c r="R28" s="4" t="e">
        <f>IF(A28&lt;('2. Inputs and results'!$C$23+1),R27+G28+I28+H28+J28+T28-$V$6,NA())</f>
        <v>#N/A</v>
      </c>
      <c r="S28" s="4" t="str">
        <f>IF(A28&lt;('2. Inputs and results'!$C$23+1),'2. Inputs and results'!$C$81*(R27)," ")</f>
        <v xml:space="preserve"> </v>
      </c>
      <c r="T28" s="4">
        <f t="shared" si="1"/>
        <v>0</v>
      </c>
      <c r="U28" s="4" t="e">
        <f>IF(A28&lt;('2. Inputs and results'!$C$23+1),U27+((G28+I28+H28+J28-$V$6+T28)/((1+$P$2)^A28)),NA())</f>
        <v>#N/A</v>
      </c>
      <c r="V28" s="4" t="str">
        <f>IF(A28&lt;('2. Inputs and results'!$C$23+1),V27+('2. Inputs and results'!$C$77*'2. Inputs and results'!$C$75)," ")</f>
        <v xml:space="preserve"> </v>
      </c>
      <c r="W28" s="4" t="e">
        <f>IF(A28&lt;('2. Inputs and results'!$C$23+1),W27+C28+Y28-$V$6,NA())</f>
        <v>#N/A</v>
      </c>
      <c r="X28" s="4" t="str">
        <f>IF(A28&lt;('2. Inputs and results'!$C$23+1),'2. Inputs and results'!$C$81*(W27)," ")</f>
        <v xml:space="preserve"> </v>
      </c>
      <c r="Y28" s="4">
        <f t="shared" si="2"/>
        <v>0</v>
      </c>
      <c r="Z28" s="4" t="e">
        <f>IF(A28&lt;('2. Inputs and results'!$C$23+1),Z27+((C28-$V$6+Y28)/((1+$P$2)^A28)),NA())</f>
        <v>#N/A</v>
      </c>
      <c r="AA28" s="4" t="str">
        <f>IF(A28&lt;('2. Inputs and results'!$C$23+1),AA27+G28+I28+H28+T28-$V$6," ")</f>
        <v xml:space="preserve"> </v>
      </c>
      <c r="AB28" s="11" t="e">
        <f>IF(A28&lt;('2. Inputs and results'!$C$23+1),AA28/L28,NA())</f>
        <v>#N/A</v>
      </c>
      <c r="AC28" s="12" t="str">
        <f>IF(A28&lt;('2. Inputs and results'!$C$23+1),AC27+C28+Y28-$V$6," ")</f>
        <v xml:space="preserve"> </v>
      </c>
      <c r="AD28" s="11" t="e">
        <f>IF(A28&lt;('2. Inputs and results'!$C$23+1),AC28/L28,NA())</f>
        <v>#N/A</v>
      </c>
      <c r="AE28" t="str">
        <f>IF(A28&lt;('2. Inputs and results'!$C$23+1),-'2. Inputs and results'!$C$124*A28," ")</f>
        <v xml:space="preserve"> </v>
      </c>
      <c r="AF28" t="e">
        <f>IF(A28&lt;('2. Inputs and results'!$C$23+1),AE28/1000,NA())</f>
        <v>#N/A</v>
      </c>
    </row>
    <row r="29" spans="1:32">
      <c r="A29">
        <f t="shared" si="0"/>
        <v>24</v>
      </c>
      <c r="B29" t="str">
        <f>IF(A29&lt;('2. Inputs and results'!$C$23+1),A29," ")</f>
        <v xml:space="preserve"> </v>
      </c>
      <c r="C29" s="4" t="str">
        <f>IF(A29&lt;('2. Inputs and results'!$C$23+1),'2. Inputs and results'!$C$101+'2. Inputs and results'!$C$103," ")</f>
        <v xml:space="preserve"> </v>
      </c>
      <c r="D29" s="4" t="e">
        <f>IF(A29&lt;('2. Inputs and results'!$C$23+1),D28+C29,NA())</f>
        <v>#N/A</v>
      </c>
      <c r="E29" s="4" t="str">
        <f>IF(A29&lt;('2. Inputs and results'!$C$23+1),C29/((1+$P$2)^A29)," ")</f>
        <v xml:space="preserve"> </v>
      </c>
      <c r="F29" s="4" t="str">
        <f>IF(B29&lt;('2. Inputs and results'!$C$23+1),F28+E29," ")</f>
        <v xml:space="preserve"> </v>
      </c>
      <c r="G29" s="4" t="str">
        <f>IF(A29&lt;('2. Inputs and results'!$C$23+1),G28*(1+'2. Inputs and results'!$C$46)," ")</f>
        <v xml:space="preserve"> </v>
      </c>
      <c r="H29" s="4" t="str">
        <f>IF(A29&lt;('2. Inputs and results'!$C$23+1),H28*(1+'2. Inputs and results'!$C$58)," ")</f>
        <v xml:space="preserve"> </v>
      </c>
      <c r="I29" s="4" t="str">
        <f>IF(A29&lt;('2. Inputs and results'!$C$23+1),I28*(1+'2. Inputs and results'!$C$34)," ")</f>
        <v xml:space="preserve"> </v>
      </c>
      <c r="J29" s="4" t="str">
        <f>IF(A29&lt;('2. Inputs and results'!$C$23+1),J28*(1+'2. Inputs and results'!$C$68)," ")</f>
        <v xml:space="preserve"> </v>
      </c>
      <c r="K29" s="4" t="e">
        <f>IF(A29&lt;('2. Inputs and results'!$C$23+1),K28+(G29+I29+H29+J29),NA())</f>
        <v>#N/A</v>
      </c>
      <c r="L29" s="4" t="e">
        <f>IF(A29&lt;('2. Inputs and results'!$C$23+1),L28,NA())</f>
        <v>#N/A</v>
      </c>
      <c r="M29" s="4" t="str">
        <f>IF(A29&lt;('2. Inputs and results'!$C$23+1),'2. Inputs and results'!$C$77*'2. Inputs and results'!$C$75," ")</f>
        <v xml:space="preserve"> </v>
      </c>
      <c r="N29" s="4" t="str">
        <f>IF(A29&lt;('2. Inputs and results'!$C$23+1),M29/((1+$P$2)^A29)," ")</f>
        <v xml:space="preserve"> </v>
      </c>
      <c r="O29" s="4" t="str">
        <f>IF(A29&lt;('2. Inputs and results'!$C$23+1),'2. Inputs and results'!$C$75*'2. Inputs and results'!$C$77+O28," ")</f>
        <v xml:space="preserve"> </v>
      </c>
      <c r="P29" s="4" t="str">
        <f>IF(A29&lt;('2. Inputs and results'!$C$23+1),(G29+I29+H29+J29)/((1+$P$2)^A29)," ")</f>
        <v xml:space="preserve"> </v>
      </c>
      <c r="Q29" s="4" t="str">
        <f>IF(A29&lt;('2. Inputs and results'!$C$23+1),Q28+P29," ")</f>
        <v xml:space="preserve"> </v>
      </c>
      <c r="R29" s="4" t="e">
        <f>IF(A29&lt;('2. Inputs and results'!$C$23+1),R28+G29+I29+H29+J29+T29-$V$6,NA())</f>
        <v>#N/A</v>
      </c>
      <c r="S29" s="4" t="str">
        <f>IF(A29&lt;('2. Inputs and results'!$C$23+1),'2. Inputs and results'!$C$81*(R28)," ")</f>
        <v xml:space="preserve"> </v>
      </c>
      <c r="T29" s="4">
        <f t="shared" si="1"/>
        <v>0</v>
      </c>
      <c r="U29" s="4" t="e">
        <f>IF(A29&lt;('2. Inputs and results'!$C$23+1),U28+((G29+I29+H29+J29-$V$6+T29)/((1+$P$2)^A29)),NA())</f>
        <v>#N/A</v>
      </c>
      <c r="V29" s="4" t="str">
        <f>IF(A29&lt;('2. Inputs and results'!$C$23+1),V28+('2. Inputs and results'!$C$77*'2. Inputs and results'!$C$75)," ")</f>
        <v xml:space="preserve"> </v>
      </c>
      <c r="W29" s="4" t="e">
        <f>IF(A29&lt;('2. Inputs and results'!$C$23+1),W28+C29+Y29-$V$6,NA())</f>
        <v>#N/A</v>
      </c>
      <c r="X29" s="4" t="str">
        <f>IF(A29&lt;('2. Inputs and results'!$C$23+1),'2. Inputs and results'!$C$81*(W28)," ")</f>
        <v xml:space="preserve"> </v>
      </c>
      <c r="Y29" s="4">
        <f t="shared" si="2"/>
        <v>0</v>
      </c>
      <c r="Z29" s="4" t="e">
        <f>IF(A29&lt;('2. Inputs and results'!$C$23+1),Z28+((C29-$V$6+Y29)/((1+$P$2)^A29)),NA())</f>
        <v>#N/A</v>
      </c>
      <c r="AA29" s="4" t="str">
        <f>IF(A29&lt;('2. Inputs and results'!$C$23+1),AA28+G29+I29+H29+T29-$V$6," ")</f>
        <v xml:space="preserve"> </v>
      </c>
      <c r="AB29" s="11" t="e">
        <f>IF(A29&lt;('2. Inputs and results'!$C$23+1),AA29/L29,NA())</f>
        <v>#N/A</v>
      </c>
      <c r="AC29" s="12" t="str">
        <f>IF(A29&lt;('2. Inputs and results'!$C$23+1),AC28+C29+Y29-$V$6," ")</f>
        <v xml:space="preserve"> </v>
      </c>
      <c r="AD29" s="11" t="e">
        <f>IF(A29&lt;('2. Inputs and results'!$C$23+1),AC29/L29,NA())</f>
        <v>#N/A</v>
      </c>
      <c r="AE29" t="str">
        <f>IF(A29&lt;('2. Inputs and results'!$C$23+1),-'2. Inputs and results'!$C$124*A29," ")</f>
        <v xml:space="preserve"> </v>
      </c>
      <c r="AF29" t="e">
        <f>IF(A29&lt;('2. Inputs and results'!$C$23+1),AE29/1000,NA())</f>
        <v>#N/A</v>
      </c>
    </row>
    <row r="30" spans="1:32">
      <c r="A30">
        <f t="shared" si="0"/>
        <v>25</v>
      </c>
      <c r="B30" t="str">
        <f>IF(A30&lt;('2. Inputs and results'!$C$23+1),A30," ")</f>
        <v xml:space="preserve"> </v>
      </c>
      <c r="C30" s="4" t="str">
        <f>IF(A30&lt;('2. Inputs and results'!$C$23+1),'2. Inputs and results'!$C$101+'2. Inputs and results'!$C$103," ")</f>
        <v xml:space="preserve"> </v>
      </c>
      <c r="D30" s="4" t="e">
        <f>IF(A30&lt;('2. Inputs and results'!$C$23+1),D29+C30,NA())</f>
        <v>#N/A</v>
      </c>
      <c r="E30" s="4" t="str">
        <f>IF(A30&lt;('2. Inputs and results'!$C$23+1),C30/((1+$P$2)^A30)," ")</f>
        <v xml:space="preserve"> </v>
      </c>
      <c r="F30" s="4" t="str">
        <f>IF(B30&lt;('2. Inputs and results'!$C$23+1),F29+E30," ")</f>
        <v xml:space="preserve"> </v>
      </c>
      <c r="G30" s="4" t="str">
        <f>IF(A30&lt;('2. Inputs and results'!$C$23+1),G29*(1+'2. Inputs and results'!$C$46)," ")</f>
        <v xml:space="preserve"> </v>
      </c>
      <c r="H30" s="4" t="str">
        <f>IF(A30&lt;('2. Inputs and results'!$C$23+1),H29*(1+'2. Inputs and results'!$C$58)," ")</f>
        <v xml:space="preserve"> </v>
      </c>
      <c r="I30" s="4" t="str">
        <f>IF(A30&lt;('2. Inputs and results'!$C$23+1),I29*(1+'2. Inputs and results'!$C$34)," ")</f>
        <v xml:space="preserve"> </v>
      </c>
      <c r="J30" s="4" t="str">
        <f>IF(A30&lt;('2. Inputs and results'!$C$23+1),J29*(1+'2. Inputs and results'!$C$68)," ")</f>
        <v xml:space="preserve"> </v>
      </c>
      <c r="K30" s="4" t="e">
        <f>IF(A30&lt;('2. Inputs and results'!$C$23+1),K29+(G30+I30+H30+J30),NA())</f>
        <v>#N/A</v>
      </c>
      <c r="L30" s="4" t="e">
        <f>IF(A30&lt;('2. Inputs and results'!$C$23+1),L29,NA())</f>
        <v>#N/A</v>
      </c>
      <c r="M30" s="4" t="str">
        <f>IF(A30&lt;('2. Inputs and results'!$C$23+1),'2. Inputs and results'!$C$77*'2. Inputs and results'!$C$75," ")</f>
        <v xml:space="preserve"> </v>
      </c>
      <c r="N30" s="4" t="str">
        <f>IF(A30&lt;('2. Inputs and results'!$C$23+1),M30/((1+$P$2)^A30)," ")</f>
        <v xml:space="preserve"> </v>
      </c>
      <c r="O30" s="4" t="str">
        <f>IF(A30&lt;('2. Inputs and results'!$C$23+1),'2. Inputs and results'!$C$75*'2. Inputs and results'!$C$77+O29," ")</f>
        <v xml:space="preserve"> </v>
      </c>
      <c r="P30" s="4" t="str">
        <f>IF(A30&lt;('2. Inputs and results'!$C$23+1),(G30+I30+H30+J30)/((1+$P$2)^A30)," ")</f>
        <v xml:space="preserve"> </v>
      </c>
      <c r="Q30" s="4" t="str">
        <f>IF(A30&lt;('2. Inputs and results'!$C$23+1),Q29+P30," ")</f>
        <v xml:space="preserve"> </v>
      </c>
      <c r="R30" s="4" t="e">
        <f>IF(A30&lt;('2. Inputs and results'!$C$23+1),R29+G30+I30+H30+J30+T30-$V$6,NA())</f>
        <v>#N/A</v>
      </c>
      <c r="S30" s="4" t="str">
        <f>IF(A30&lt;('2. Inputs and results'!$C$23+1),'2. Inputs and results'!$C$81*(R29)," ")</f>
        <v xml:space="preserve"> </v>
      </c>
      <c r="T30" s="4">
        <f t="shared" si="1"/>
        <v>0</v>
      </c>
      <c r="U30" s="4" t="e">
        <f>IF(A30&lt;('2. Inputs and results'!$C$23+1),U29+((G30+I30+H30+J30-$V$6+T30)/((1+$P$2)^A30)),NA())</f>
        <v>#N/A</v>
      </c>
      <c r="V30" s="4" t="str">
        <f>IF(A30&lt;('2. Inputs and results'!$C$23+1),V29+('2. Inputs and results'!$C$77*'2. Inputs and results'!$C$75)," ")</f>
        <v xml:space="preserve"> </v>
      </c>
      <c r="W30" s="4" t="e">
        <f>IF(A30&lt;('2. Inputs and results'!$C$23+1),W29+C30+Y30-$V$6,NA())</f>
        <v>#N/A</v>
      </c>
      <c r="X30" s="4" t="str">
        <f>IF(A30&lt;('2. Inputs and results'!$C$23+1),'2. Inputs and results'!$C$81*(W29)," ")</f>
        <v xml:space="preserve"> </v>
      </c>
      <c r="Y30" s="4">
        <f t="shared" si="2"/>
        <v>0</v>
      </c>
      <c r="Z30" s="4" t="e">
        <f>IF(A30&lt;('2. Inputs and results'!$C$23+1),Z29+((C30-$V$6+Y30)/((1+$P$2)^A30)),NA())</f>
        <v>#N/A</v>
      </c>
      <c r="AA30" s="4" t="str">
        <f>IF(A30&lt;('2. Inputs and results'!$C$23+1),AA29+G30+I30+H30+T30-$V$6," ")</f>
        <v xml:space="preserve"> </v>
      </c>
      <c r="AB30" s="11" t="e">
        <f>IF(A30&lt;('2. Inputs and results'!$C$23+1),AA30/L30,NA())</f>
        <v>#N/A</v>
      </c>
      <c r="AC30" s="12" t="str">
        <f>IF(A30&lt;('2. Inputs and results'!$C$23+1),AC29+C30+Y30-$V$6," ")</f>
        <v xml:space="preserve"> </v>
      </c>
      <c r="AD30" s="11" t="e">
        <f>IF(A30&lt;('2. Inputs and results'!$C$23+1),AC30/L30,NA())</f>
        <v>#N/A</v>
      </c>
      <c r="AE30" t="str">
        <f>IF(A30&lt;('2. Inputs and results'!$C$23+1),-'2. Inputs and results'!$C$124*A30," ")</f>
        <v xml:space="preserve"> </v>
      </c>
      <c r="AF30" t="e">
        <f>IF(A30&lt;('2. Inputs and results'!$C$23+1),AE30/1000,NA())</f>
        <v>#N/A</v>
      </c>
    </row>
    <row r="31" spans="1:32">
      <c r="A31">
        <f t="shared" si="0"/>
        <v>26</v>
      </c>
      <c r="B31" t="str">
        <f>IF(A31&lt;('2. Inputs and results'!$C$23+1),A31," ")</f>
        <v xml:space="preserve"> </v>
      </c>
      <c r="C31" s="4" t="str">
        <f>IF(A31&lt;('2. Inputs and results'!$C$23+1),'2. Inputs and results'!$C$101+'2. Inputs and results'!$C$103," ")</f>
        <v xml:space="preserve"> </v>
      </c>
      <c r="D31" s="4" t="e">
        <f>IF(A31&lt;('2. Inputs and results'!$C$23+1),D30+C31,NA())</f>
        <v>#N/A</v>
      </c>
      <c r="E31" s="4" t="str">
        <f>IF(A31&lt;('2. Inputs and results'!$C$23+1),C31/((1+$P$2)^A31)," ")</f>
        <v xml:space="preserve"> </v>
      </c>
      <c r="F31" s="4" t="str">
        <f>IF(B31&lt;('2. Inputs and results'!$C$23+1),F30+E31," ")</f>
        <v xml:space="preserve"> </v>
      </c>
      <c r="G31" s="4" t="str">
        <f>IF(A31&lt;('2. Inputs and results'!$C$23+1),G30*(1+'2. Inputs and results'!$C$46)," ")</f>
        <v xml:space="preserve"> </v>
      </c>
      <c r="H31" s="4" t="str">
        <f>IF(A31&lt;('2. Inputs and results'!$C$23+1),H30*(1+'2. Inputs and results'!$C$58)," ")</f>
        <v xml:space="preserve"> </v>
      </c>
      <c r="I31" s="4" t="str">
        <f>IF(A31&lt;('2. Inputs and results'!$C$23+1),I30*(1+'2. Inputs and results'!$C$34)," ")</f>
        <v xml:space="preserve"> </v>
      </c>
      <c r="J31" s="4" t="str">
        <f>IF(A31&lt;('2. Inputs and results'!$C$23+1),J30*(1+'2. Inputs and results'!$C$68)," ")</f>
        <v xml:space="preserve"> </v>
      </c>
      <c r="K31" s="4" t="e">
        <f>IF(A31&lt;('2. Inputs and results'!$C$23+1),K30+(G31+I31+H31+J31),NA())</f>
        <v>#N/A</v>
      </c>
      <c r="L31" s="4" t="e">
        <f>IF(A31&lt;('2. Inputs and results'!$C$23+1),L30,NA())</f>
        <v>#N/A</v>
      </c>
      <c r="M31" s="4" t="str">
        <f>IF(A31&lt;('2. Inputs and results'!$C$23+1),'2. Inputs and results'!$C$77*'2. Inputs and results'!$C$75," ")</f>
        <v xml:space="preserve"> </v>
      </c>
      <c r="N31" s="4" t="str">
        <f>IF(A31&lt;('2. Inputs and results'!$C$23+1),M31/((1+$P$2)^A31)," ")</f>
        <v xml:space="preserve"> </v>
      </c>
      <c r="O31" s="4" t="str">
        <f>IF(A31&lt;('2. Inputs and results'!$C$23+1),'2. Inputs and results'!$C$75*'2. Inputs and results'!$C$77+O30," ")</f>
        <v xml:space="preserve"> </v>
      </c>
      <c r="P31" s="4" t="str">
        <f>IF(A31&lt;('2. Inputs and results'!$C$23+1),(G31+I31+H31+J31)/((1+$P$2)^A31)," ")</f>
        <v xml:space="preserve"> </v>
      </c>
      <c r="Q31" s="4" t="str">
        <f>IF(A31&lt;('2. Inputs and results'!$C$23+1),Q30+P31," ")</f>
        <v xml:space="preserve"> </v>
      </c>
      <c r="R31" s="4" t="e">
        <f>IF(A31&lt;('2. Inputs and results'!$C$23+1),R30+G31+I31+H31+J31+T31-$V$6,NA())</f>
        <v>#N/A</v>
      </c>
      <c r="S31" s="4" t="str">
        <f>IF(A31&lt;('2. Inputs and results'!$C$23+1),'2. Inputs and results'!$C$81*(R30)," ")</f>
        <v xml:space="preserve"> </v>
      </c>
      <c r="T31" s="4">
        <f t="shared" si="1"/>
        <v>0</v>
      </c>
      <c r="U31" s="4" t="e">
        <f>IF(A31&lt;('2. Inputs and results'!$C$23+1),U30+((G31+I31+H31+J31-$V$6+T31)/((1+$P$2)^A31)),NA())</f>
        <v>#N/A</v>
      </c>
      <c r="V31" s="4" t="str">
        <f>IF(A31&lt;('2. Inputs and results'!$C$23+1),V30+('2. Inputs and results'!$C$77*'2. Inputs and results'!$C$75)," ")</f>
        <v xml:space="preserve"> </v>
      </c>
      <c r="W31" s="4" t="e">
        <f>IF(A31&lt;('2. Inputs and results'!$C$23+1),W30+C31+Y31-$V$6,NA())</f>
        <v>#N/A</v>
      </c>
      <c r="X31" s="4" t="str">
        <f>IF(A31&lt;('2. Inputs and results'!$C$23+1),'2. Inputs and results'!$C$81*(W30)," ")</f>
        <v xml:space="preserve"> </v>
      </c>
      <c r="Y31" s="4">
        <f t="shared" si="2"/>
        <v>0</v>
      </c>
      <c r="Z31" s="4" t="e">
        <f>IF(A31&lt;('2. Inputs and results'!$C$23+1),Z30+((C31-$V$6+Y31)/((1+$P$2)^A31)),NA())</f>
        <v>#N/A</v>
      </c>
      <c r="AA31" s="4" t="str">
        <f>IF(A31&lt;('2. Inputs and results'!$C$23+1),AA30+G31+I31+H31+T31-$V$6," ")</f>
        <v xml:space="preserve"> </v>
      </c>
      <c r="AB31" s="11" t="e">
        <f>IF(A31&lt;('2. Inputs and results'!$C$23+1),AA31/L31,NA())</f>
        <v>#N/A</v>
      </c>
      <c r="AC31" s="12" t="str">
        <f>IF(A31&lt;('2. Inputs and results'!$C$23+1),AC30+C31+Y31-$V$6," ")</f>
        <v xml:space="preserve"> </v>
      </c>
      <c r="AD31" s="11" t="e">
        <f>IF(A31&lt;('2. Inputs and results'!$C$23+1),AC31/L31,NA())</f>
        <v>#N/A</v>
      </c>
      <c r="AE31" t="str">
        <f>IF(A31&lt;('2. Inputs and results'!$C$23+1),-'2. Inputs and results'!$C$124*A31," ")</f>
        <v xml:space="preserve"> </v>
      </c>
      <c r="AF31" t="e">
        <f>IF(A31&lt;('2. Inputs and results'!$C$23+1),AE31/1000,NA())</f>
        <v>#N/A</v>
      </c>
    </row>
    <row r="32" spans="1:32">
      <c r="A32">
        <f t="shared" si="0"/>
        <v>27</v>
      </c>
      <c r="B32" t="str">
        <f>IF(A32&lt;('2. Inputs and results'!$C$23+1),A32," ")</f>
        <v xml:space="preserve"> </v>
      </c>
      <c r="C32" s="4" t="str">
        <f>IF(A32&lt;('2. Inputs and results'!$C$23+1),'2. Inputs and results'!$C$101+'2. Inputs and results'!$C$103," ")</f>
        <v xml:space="preserve"> </v>
      </c>
      <c r="D32" s="4" t="e">
        <f>IF(A32&lt;('2. Inputs and results'!$C$23+1),D31+C32,NA())</f>
        <v>#N/A</v>
      </c>
      <c r="E32" s="4" t="str">
        <f>IF(A32&lt;('2. Inputs and results'!$C$23+1),C32/((1+$P$2)^A32)," ")</f>
        <v xml:space="preserve"> </v>
      </c>
      <c r="F32" s="4" t="str">
        <f>IF(B32&lt;('2. Inputs and results'!$C$23+1),F31+E32," ")</f>
        <v xml:space="preserve"> </v>
      </c>
      <c r="G32" s="4" t="str">
        <f>IF(A32&lt;('2. Inputs and results'!$C$23+1),G31*(1+'2. Inputs and results'!$C$46)," ")</f>
        <v xml:space="preserve"> </v>
      </c>
      <c r="H32" s="4" t="str">
        <f>IF(A32&lt;('2. Inputs and results'!$C$23+1),H31*(1+'2. Inputs and results'!$C$58)," ")</f>
        <v xml:space="preserve"> </v>
      </c>
      <c r="I32" s="4" t="str">
        <f>IF(A32&lt;('2. Inputs and results'!$C$23+1),I31*(1+'2. Inputs and results'!$C$34)," ")</f>
        <v xml:space="preserve"> </v>
      </c>
      <c r="J32" s="4" t="str">
        <f>IF(A32&lt;('2. Inputs and results'!$C$23+1),J31*(1+'2. Inputs and results'!$C$68)," ")</f>
        <v xml:space="preserve"> </v>
      </c>
      <c r="K32" s="4" t="e">
        <f>IF(A32&lt;('2. Inputs and results'!$C$23+1),K31+(G32+I32+H32+J32),NA())</f>
        <v>#N/A</v>
      </c>
      <c r="L32" s="4" t="e">
        <f>IF(A32&lt;('2. Inputs and results'!$C$23+1),L31,NA())</f>
        <v>#N/A</v>
      </c>
      <c r="M32" s="4" t="str">
        <f>IF(A32&lt;('2. Inputs and results'!$C$23+1),'2. Inputs and results'!$C$77*'2. Inputs and results'!$C$75," ")</f>
        <v xml:space="preserve"> </v>
      </c>
      <c r="N32" s="4" t="str">
        <f>IF(A32&lt;('2. Inputs and results'!$C$23+1),M32/((1+$P$2)^A32)," ")</f>
        <v xml:space="preserve"> </v>
      </c>
      <c r="O32" s="4" t="str">
        <f>IF(A32&lt;('2. Inputs and results'!$C$23+1),'2. Inputs and results'!$C$75*'2. Inputs and results'!$C$77+O31," ")</f>
        <v xml:space="preserve"> </v>
      </c>
      <c r="P32" s="4" t="str">
        <f>IF(A32&lt;('2. Inputs and results'!$C$23+1),(G32+I32+H32+J32)/((1+$P$2)^A32)," ")</f>
        <v xml:space="preserve"> </v>
      </c>
      <c r="Q32" s="4" t="str">
        <f>IF(A32&lt;('2. Inputs and results'!$C$23+1),Q31+P32," ")</f>
        <v xml:space="preserve"> </v>
      </c>
      <c r="R32" s="4" t="e">
        <f>IF(A32&lt;('2. Inputs and results'!$C$23+1),R31+G32+I32+H32+J32+T32-$V$6,NA())</f>
        <v>#N/A</v>
      </c>
      <c r="S32" s="4" t="str">
        <f>IF(A32&lt;('2. Inputs and results'!$C$23+1),'2. Inputs and results'!$C$81*(R31)," ")</f>
        <v xml:space="preserve"> </v>
      </c>
      <c r="T32" s="4">
        <f t="shared" si="1"/>
        <v>0</v>
      </c>
      <c r="U32" s="4" t="e">
        <f>IF(A32&lt;('2. Inputs and results'!$C$23+1),U31+((G32+I32+H32+J32-$V$6+T32)/((1+$P$2)^A32)),NA())</f>
        <v>#N/A</v>
      </c>
      <c r="V32" s="4" t="str">
        <f>IF(A32&lt;('2. Inputs and results'!$C$23+1),V31+('2. Inputs and results'!$C$77*'2. Inputs and results'!$C$75)," ")</f>
        <v xml:space="preserve"> </v>
      </c>
      <c r="W32" s="4" t="e">
        <f>IF(A32&lt;('2. Inputs and results'!$C$23+1),W31+C32+Y32-$V$6,NA())</f>
        <v>#N/A</v>
      </c>
      <c r="X32" s="4" t="str">
        <f>IF(A32&lt;('2. Inputs and results'!$C$23+1),'2. Inputs and results'!$C$81*(W31)," ")</f>
        <v xml:space="preserve"> </v>
      </c>
      <c r="Y32" s="4">
        <f t="shared" si="2"/>
        <v>0</v>
      </c>
      <c r="Z32" s="4" t="e">
        <f>IF(A32&lt;('2. Inputs and results'!$C$23+1),Z31+((C32-$V$6+Y32)/((1+$P$2)^A32)),NA())</f>
        <v>#N/A</v>
      </c>
      <c r="AA32" s="4" t="str">
        <f>IF(A32&lt;('2. Inputs and results'!$C$23+1),AA31+G32+I32+H32+T32-$V$6," ")</f>
        <v xml:space="preserve"> </v>
      </c>
      <c r="AB32" s="11" t="e">
        <f>IF(A32&lt;('2. Inputs and results'!$C$23+1),AA32/L32,NA())</f>
        <v>#N/A</v>
      </c>
      <c r="AC32" s="12" t="str">
        <f>IF(A32&lt;('2. Inputs and results'!$C$23+1),AC31+C32+Y32-$V$6," ")</f>
        <v xml:space="preserve"> </v>
      </c>
      <c r="AD32" s="11" t="e">
        <f>IF(A32&lt;('2. Inputs and results'!$C$23+1),AC32/L32,NA())</f>
        <v>#N/A</v>
      </c>
      <c r="AE32" t="str">
        <f>IF(A32&lt;('2. Inputs and results'!$C$23+1),-'2. Inputs and results'!$C$124*A32," ")</f>
        <v xml:space="preserve"> </v>
      </c>
      <c r="AF32" t="e">
        <f>IF(A32&lt;('2. Inputs and results'!$C$23+1),AE32/1000,NA())</f>
        <v>#N/A</v>
      </c>
    </row>
    <row r="33" spans="1:32">
      <c r="A33">
        <f t="shared" si="0"/>
        <v>28</v>
      </c>
      <c r="B33" t="str">
        <f>IF(A33&lt;('2. Inputs and results'!$C$23+1),A33," ")</f>
        <v xml:space="preserve"> </v>
      </c>
      <c r="C33" s="4" t="str">
        <f>IF(A33&lt;('2. Inputs and results'!$C$23+1),'2. Inputs and results'!$C$101+'2. Inputs and results'!$C$103," ")</f>
        <v xml:space="preserve"> </v>
      </c>
      <c r="D33" s="4" t="e">
        <f>IF(A33&lt;('2. Inputs and results'!$C$23+1),D32+C33,NA())</f>
        <v>#N/A</v>
      </c>
      <c r="E33" s="4" t="str">
        <f>IF(A33&lt;('2. Inputs and results'!$C$23+1),C33/((1+$P$2)^A33)," ")</f>
        <v xml:space="preserve"> </v>
      </c>
      <c r="F33" s="4" t="str">
        <f>IF(B33&lt;('2. Inputs and results'!$C$23+1),F32+E33," ")</f>
        <v xml:space="preserve"> </v>
      </c>
      <c r="G33" s="4" t="str">
        <f>IF(A33&lt;('2. Inputs and results'!$C$23+1),G32*(1+'2. Inputs and results'!$C$46)," ")</f>
        <v xml:space="preserve"> </v>
      </c>
      <c r="H33" s="4" t="str">
        <f>IF(A33&lt;('2. Inputs and results'!$C$23+1),H32*(1+'2. Inputs and results'!$C$58)," ")</f>
        <v xml:space="preserve"> </v>
      </c>
      <c r="I33" s="4" t="str">
        <f>IF(A33&lt;('2. Inputs and results'!$C$23+1),I32*(1+'2. Inputs and results'!$C$34)," ")</f>
        <v xml:space="preserve"> </v>
      </c>
      <c r="J33" s="4" t="str">
        <f>IF(A33&lt;('2. Inputs and results'!$C$23+1),J32*(1+'2. Inputs and results'!$C$68)," ")</f>
        <v xml:space="preserve"> </v>
      </c>
      <c r="K33" s="4" t="e">
        <f>IF(A33&lt;('2. Inputs and results'!$C$23+1),K32+(G33+I33+H33+J33),NA())</f>
        <v>#N/A</v>
      </c>
      <c r="L33" s="4" t="e">
        <f>IF(A33&lt;('2. Inputs and results'!$C$23+1),L32,NA())</f>
        <v>#N/A</v>
      </c>
      <c r="M33" s="4" t="str">
        <f>IF(A33&lt;('2. Inputs and results'!$C$23+1),'2. Inputs and results'!$C$77*'2. Inputs and results'!$C$75," ")</f>
        <v xml:space="preserve"> </v>
      </c>
      <c r="N33" s="4" t="str">
        <f>IF(A33&lt;('2. Inputs and results'!$C$23+1),M33/((1+$P$2)^A33)," ")</f>
        <v xml:space="preserve"> </v>
      </c>
      <c r="O33" s="4" t="str">
        <f>IF(A33&lt;('2. Inputs and results'!$C$23+1),'2. Inputs and results'!$C$75*'2. Inputs and results'!$C$77+O32," ")</f>
        <v xml:space="preserve"> </v>
      </c>
      <c r="P33" s="4" t="str">
        <f>IF(A33&lt;('2. Inputs and results'!$C$23+1),(G33+I33+H33+J33)/((1+$P$2)^A33)," ")</f>
        <v xml:space="preserve"> </v>
      </c>
      <c r="Q33" s="4" t="str">
        <f>IF(A33&lt;('2. Inputs and results'!$C$23+1),Q32+P33," ")</f>
        <v xml:space="preserve"> </v>
      </c>
      <c r="R33" s="4" t="e">
        <f>IF(A33&lt;('2. Inputs and results'!$C$23+1),R32+G33+I33+H33+J33+T33-$V$6,NA())</f>
        <v>#N/A</v>
      </c>
      <c r="S33" s="4" t="str">
        <f>IF(A33&lt;('2. Inputs and results'!$C$23+1),'2. Inputs and results'!$C$81*(R32)," ")</f>
        <v xml:space="preserve"> </v>
      </c>
      <c r="T33" s="4">
        <f t="shared" si="1"/>
        <v>0</v>
      </c>
      <c r="U33" s="4" t="e">
        <f>IF(A33&lt;('2. Inputs and results'!$C$23+1),U32+((G33+I33+H33+J33-$V$6+T33)/((1+$P$2)^A33)),NA())</f>
        <v>#N/A</v>
      </c>
      <c r="V33" s="4" t="str">
        <f>IF(A33&lt;('2. Inputs and results'!$C$23+1),V32+('2. Inputs and results'!$C$77*'2. Inputs and results'!$C$75)," ")</f>
        <v xml:space="preserve"> </v>
      </c>
      <c r="W33" s="4" t="e">
        <f>IF(A33&lt;('2. Inputs and results'!$C$23+1),W32+C33+Y33-$V$6,NA())</f>
        <v>#N/A</v>
      </c>
      <c r="X33" s="4" t="str">
        <f>IF(A33&lt;('2. Inputs and results'!$C$23+1),'2. Inputs and results'!$C$81*(W32)," ")</f>
        <v xml:space="preserve"> </v>
      </c>
      <c r="Y33" s="4">
        <f t="shared" si="2"/>
        <v>0</v>
      </c>
      <c r="Z33" s="4" t="e">
        <f>IF(A33&lt;('2. Inputs and results'!$C$23+1),Z32+((C33-$V$6+Y33)/((1+$P$2)^A33)),NA())</f>
        <v>#N/A</v>
      </c>
      <c r="AA33" s="4" t="str">
        <f>IF(A33&lt;('2. Inputs and results'!$C$23+1),AA32+G33+I33+H33+T33-$V$6," ")</f>
        <v xml:space="preserve"> </v>
      </c>
      <c r="AB33" s="11" t="e">
        <f>IF(A33&lt;('2. Inputs and results'!$C$23+1),AA33/L33,NA())</f>
        <v>#N/A</v>
      </c>
      <c r="AC33" s="12" t="str">
        <f>IF(A33&lt;('2. Inputs and results'!$C$23+1),AC32+C33+Y33-$V$6," ")</f>
        <v xml:space="preserve"> </v>
      </c>
      <c r="AD33" s="11" t="e">
        <f>IF(A33&lt;('2. Inputs and results'!$C$23+1),AC33/L33,NA())</f>
        <v>#N/A</v>
      </c>
      <c r="AE33" t="str">
        <f>IF(A33&lt;('2. Inputs and results'!$C$23+1),-'2. Inputs and results'!$C$124*A33," ")</f>
        <v xml:space="preserve"> </v>
      </c>
      <c r="AF33" t="e">
        <f>IF(A33&lt;('2. Inputs and results'!$C$23+1),AE33/1000,NA())</f>
        <v>#N/A</v>
      </c>
    </row>
    <row r="34" spans="1:32">
      <c r="A34">
        <f t="shared" si="0"/>
        <v>29</v>
      </c>
      <c r="B34" t="str">
        <f>IF(A34&lt;('2. Inputs and results'!$C$23+1),A34," ")</f>
        <v xml:space="preserve"> </v>
      </c>
      <c r="C34" s="4" t="str">
        <f>IF(A34&lt;('2. Inputs and results'!$C$23+1),'2. Inputs and results'!$C$101+'2. Inputs and results'!$C$103," ")</f>
        <v xml:space="preserve"> </v>
      </c>
      <c r="D34" s="4" t="e">
        <f>IF(A34&lt;('2. Inputs and results'!$C$23+1),D33+C34,NA())</f>
        <v>#N/A</v>
      </c>
      <c r="E34" s="4" t="str">
        <f>IF(A34&lt;('2. Inputs and results'!$C$23+1),C34/((1+$P$2)^A34)," ")</f>
        <v xml:space="preserve"> </v>
      </c>
      <c r="F34" s="4" t="str">
        <f>IF(B34&lt;('2. Inputs and results'!$C$23+1),F33+E34," ")</f>
        <v xml:space="preserve"> </v>
      </c>
      <c r="G34" s="4" t="str">
        <f>IF(A34&lt;('2. Inputs and results'!$C$23+1),G33*(1+'2. Inputs and results'!$C$46)," ")</f>
        <v xml:space="preserve"> </v>
      </c>
      <c r="H34" s="4" t="str">
        <f>IF(A34&lt;('2. Inputs and results'!$C$23+1),H33*(1+'2. Inputs and results'!$C$58)," ")</f>
        <v xml:space="preserve"> </v>
      </c>
      <c r="I34" s="4" t="str">
        <f>IF(A34&lt;('2. Inputs and results'!$C$23+1),I33*(1+'2. Inputs and results'!$C$34)," ")</f>
        <v xml:space="preserve"> </v>
      </c>
      <c r="J34" s="4" t="str">
        <f>IF(A34&lt;('2. Inputs and results'!$C$23+1),J33*(1+'2. Inputs and results'!$C$68)," ")</f>
        <v xml:space="preserve"> </v>
      </c>
      <c r="K34" s="4" t="e">
        <f>IF(A34&lt;('2. Inputs and results'!$C$23+1),K33+(G34+I34+H34+J34),NA())</f>
        <v>#N/A</v>
      </c>
      <c r="L34" s="4" t="e">
        <f>IF(A34&lt;('2. Inputs and results'!$C$23+1),L33,NA())</f>
        <v>#N/A</v>
      </c>
      <c r="M34" s="4" t="str">
        <f>IF(A34&lt;('2. Inputs and results'!$C$23+1),'2. Inputs and results'!$C$77*'2. Inputs and results'!$C$75," ")</f>
        <v xml:space="preserve"> </v>
      </c>
      <c r="N34" s="4" t="str">
        <f>IF(A34&lt;('2. Inputs and results'!$C$23+1),M34/((1+$P$2)^A34)," ")</f>
        <v xml:space="preserve"> </v>
      </c>
      <c r="O34" s="4" t="str">
        <f>IF(A34&lt;('2. Inputs and results'!$C$23+1),'2. Inputs and results'!$C$75*'2. Inputs and results'!$C$77+O33," ")</f>
        <v xml:space="preserve"> </v>
      </c>
      <c r="P34" s="4" t="str">
        <f>IF(A34&lt;('2. Inputs and results'!$C$23+1),(G34+I34+H34+J34)/((1+$P$2)^A34)," ")</f>
        <v xml:space="preserve"> </v>
      </c>
      <c r="Q34" s="4" t="str">
        <f>IF(A34&lt;('2. Inputs and results'!$C$23+1),Q33+P34," ")</f>
        <v xml:space="preserve"> </v>
      </c>
      <c r="R34" s="4" t="e">
        <f>IF(A34&lt;('2. Inputs and results'!$C$23+1),R33+G34+I34+H34+J34+T34-$V$6,NA())</f>
        <v>#N/A</v>
      </c>
      <c r="S34" s="4" t="str">
        <f>IF(A34&lt;('2. Inputs and results'!$C$23+1),'2. Inputs and results'!$C$81*(R33)," ")</f>
        <v xml:space="preserve"> </v>
      </c>
      <c r="T34" s="4">
        <f t="shared" si="1"/>
        <v>0</v>
      </c>
      <c r="U34" s="4" t="e">
        <f>IF(A34&lt;('2. Inputs and results'!$C$23+1),U33+((G34+I34+H34+J34-$V$6+T34)/((1+$P$2)^A34)),NA())</f>
        <v>#N/A</v>
      </c>
      <c r="V34" s="4" t="str">
        <f>IF(A34&lt;('2. Inputs and results'!$C$23+1),V33+('2. Inputs and results'!$C$77*'2. Inputs and results'!$C$75)," ")</f>
        <v xml:space="preserve"> </v>
      </c>
      <c r="W34" s="4" t="e">
        <f>IF(A34&lt;('2. Inputs and results'!$C$23+1),W33+C34+Y34-$V$6,NA())</f>
        <v>#N/A</v>
      </c>
      <c r="X34" s="4" t="str">
        <f>IF(A34&lt;('2. Inputs and results'!$C$23+1),'2. Inputs and results'!$C$81*(W33)," ")</f>
        <v xml:space="preserve"> </v>
      </c>
      <c r="Y34" s="4">
        <f t="shared" si="2"/>
        <v>0</v>
      </c>
      <c r="Z34" s="4" t="e">
        <f>IF(A34&lt;('2. Inputs and results'!$C$23+1),Z33+((C34-$V$6+Y34)/((1+$P$2)^A34)),NA())</f>
        <v>#N/A</v>
      </c>
      <c r="AA34" s="4" t="str">
        <f>IF(A34&lt;('2. Inputs and results'!$C$23+1),AA33+G34+I34+H34+T34-$V$6," ")</f>
        <v xml:space="preserve"> </v>
      </c>
      <c r="AB34" s="11" t="e">
        <f>IF(A34&lt;('2. Inputs and results'!$C$23+1),AA34/L34,NA())</f>
        <v>#N/A</v>
      </c>
      <c r="AC34" s="12" t="str">
        <f>IF(A34&lt;('2. Inputs and results'!$C$23+1),AC33+C34+Y34-$V$6," ")</f>
        <v xml:space="preserve"> </v>
      </c>
      <c r="AD34" s="11" t="e">
        <f>IF(A34&lt;('2. Inputs and results'!$C$23+1),AC34/L34,NA())</f>
        <v>#N/A</v>
      </c>
      <c r="AE34" t="str">
        <f>IF(A34&lt;('2. Inputs and results'!$C$23+1),-'2. Inputs and results'!$C$124*A34," ")</f>
        <v xml:space="preserve"> </v>
      </c>
      <c r="AF34" t="e">
        <f>IF(A34&lt;('2. Inputs and results'!$C$23+1),AE34/1000,NA())</f>
        <v>#N/A</v>
      </c>
    </row>
    <row r="35" spans="1:32">
      <c r="A35">
        <f t="shared" si="0"/>
        <v>30</v>
      </c>
      <c r="B35" t="str">
        <f>IF(A35&lt;('2. Inputs and results'!$C$23+1),A35," ")</f>
        <v xml:space="preserve"> </v>
      </c>
      <c r="C35" s="4" t="str">
        <f>IF(A35&lt;('2. Inputs and results'!$C$23+1),'2. Inputs and results'!$C$101+'2. Inputs and results'!$C$103," ")</f>
        <v xml:space="preserve"> </v>
      </c>
      <c r="D35" s="4" t="e">
        <f>IF(A35&lt;('2. Inputs and results'!$C$23+1),D34+C35,NA())</f>
        <v>#N/A</v>
      </c>
      <c r="E35" s="4" t="str">
        <f>IF(A35&lt;('2. Inputs and results'!$C$23+1),C35/((1+$P$2)^A35)," ")</f>
        <v xml:space="preserve"> </v>
      </c>
      <c r="F35" s="4" t="str">
        <f>IF(B35&lt;('2. Inputs and results'!$C$23+1),F34+E35," ")</f>
        <v xml:space="preserve"> </v>
      </c>
      <c r="G35" s="4" t="str">
        <f>IF(A35&lt;('2. Inputs and results'!$C$23+1),G34*(1+'2. Inputs and results'!$C$46)," ")</f>
        <v xml:space="preserve"> </v>
      </c>
      <c r="H35" s="4" t="str">
        <f>IF(A35&lt;('2. Inputs and results'!$C$23+1),H34*(1+'2. Inputs and results'!$C$58)," ")</f>
        <v xml:space="preserve"> </v>
      </c>
      <c r="I35" s="4" t="str">
        <f>IF(A35&lt;('2. Inputs and results'!$C$23+1),I34*(1+'2. Inputs and results'!$C$34)," ")</f>
        <v xml:space="preserve"> </v>
      </c>
      <c r="J35" s="4" t="str">
        <f>IF(A35&lt;('2. Inputs and results'!$C$23+1),J34*(1+'2. Inputs and results'!$C$68)," ")</f>
        <v xml:space="preserve"> </v>
      </c>
      <c r="K35" s="4" t="e">
        <f>IF(A35&lt;('2. Inputs and results'!$C$23+1),K34+(G35+I35+H35+J35),NA())</f>
        <v>#N/A</v>
      </c>
      <c r="L35" s="4" t="e">
        <f>IF(A35&lt;('2. Inputs and results'!$C$23+1),L34,NA())</f>
        <v>#N/A</v>
      </c>
      <c r="M35" s="4" t="str">
        <f>IF(A35&lt;('2. Inputs and results'!$C$23+1),'2. Inputs and results'!$C$77*'2. Inputs and results'!$C$75," ")</f>
        <v xml:space="preserve"> </v>
      </c>
      <c r="N35" s="4" t="str">
        <f>IF(A35&lt;('2. Inputs and results'!$C$23+1),M35/((1+$P$2)^A35)," ")</f>
        <v xml:space="preserve"> </v>
      </c>
      <c r="O35" s="4" t="str">
        <f>IF(A35&lt;('2. Inputs and results'!$C$23+1),'2. Inputs and results'!$C$75*'2. Inputs and results'!$C$77+O34," ")</f>
        <v xml:space="preserve"> </v>
      </c>
      <c r="P35" s="4" t="str">
        <f>IF(A35&lt;('2. Inputs and results'!$C$23+1),(G35+I35+H35+J35)/((1+$P$2)^A35)," ")</f>
        <v xml:space="preserve"> </v>
      </c>
      <c r="Q35" s="4" t="str">
        <f>IF(A35&lt;('2. Inputs and results'!$C$23+1),Q34+P35," ")</f>
        <v xml:space="preserve"> </v>
      </c>
      <c r="R35" s="4" t="e">
        <f>IF(A35&lt;('2. Inputs and results'!$C$23+1),R34+G35+I35+H35+J35+T35-$V$6,NA())</f>
        <v>#N/A</v>
      </c>
      <c r="S35" s="4" t="str">
        <f>IF(A35&lt;('2. Inputs and results'!$C$23+1),'2. Inputs and results'!$C$81*(R34)," ")</f>
        <v xml:space="preserve"> </v>
      </c>
      <c r="T35" s="4">
        <f t="shared" si="1"/>
        <v>0</v>
      </c>
      <c r="U35" s="4" t="e">
        <f>IF(A35&lt;('2. Inputs and results'!$C$23+1),U34+((G35+I35+H35+J35-$V$6+T35)/((1+$P$2)^A35)),NA())</f>
        <v>#N/A</v>
      </c>
      <c r="V35" s="4" t="str">
        <f>IF(A35&lt;('2. Inputs and results'!$C$23+1),V34+('2. Inputs and results'!$C$77*'2. Inputs and results'!$C$75)," ")</f>
        <v xml:space="preserve"> </v>
      </c>
      <c r="W35" s="4" t="e">
        <f>IF(A35&lt;('2. Inputs and results'!$C$23+1),W34+C35+Y35-$V$6,NA())</f>
        <v>#N/A</v>
      </c>
      <c r="X35" s="4" t="str">
        <f>IF(A35&lt;('2. Inputs and results'!$C$23+1),'2. Inputs and results'!$C$81*(W34)," ")</f>
        <v xml:space="preserve"> </v>
      </c>
      <c r="Y35" s="4">
        <f t="shared" si="2"/>
        <v>0</v>
      </c>
      <c r="Z35" s="4" t="e">
        <f>IF(A35&lt;('2. Inputs and results'!$C$23+1),Z34+((C35-$V$6+Y35)/((1+$P$2)^A35)),NA())</f>
        <v>#N/A</v>
      </c>
      <c r="AA35" s="4" t="str">
        <f>IF(A35&lt;('2. Inputs and results'!$C$23+1),AA34+G35+I35+H35+T35-$V$6," ")</f>
        <v xml:space="preserve"> </v>
      </c>
      <c r="AB35" s="11" t="e">
        <f>IF(A35&lt;('2. Inputs and results'!$C$23+1),AA35/L35,NA())</f>
        <v>#N/A</v>
      </c>
      <c r="AC35" s="12" t="str">
        <f>IF(A35&lt;('2. Inputs and results'!$C$23+1),AC34+C35+Y35-$V$6," ")</f>
        <v xml:space="preserve"> </v>
      </c>
      <c r="AD35" s="11" t="e">
        <f>IF(A35&lt;('2. Inputs and results'!$C$23+1),AC35/L35,NA())</f>
        <v>#N/A</v>
      </c>
      <c r="AE35" t="str">
        <f>IF(A35&lt;('2. Inputs and results'!$C$23+1),-'2. Inputs and results'!$C$124*A35," ")</f>
        <v xml:space="preserve"> </v>
      </c>
      <c r="AF35" t="e">
        <f>IF(A35&lt;('2. Inputs and results'!$C$23+1),AE35/1000,NA())</f>
        <v>#N/A</v>
      </c>
    </row>
    <row r="36" spans="1:32">
      <c r="A36">
        <f t="shared" si="0"/>
        <v>31</v>
      </c>
      <c r="B36" t="str">
        <f>IF(A36&lt;('2. Inputs and results'!$C$23+1),A36," ")</f>
        <v xml:space="preserve"> </v>
      </c>
      <c r="C36" s="4" t="str">
        <f>IF(A36&lt;('2. Inputs and results'!$C$23+1),'2. Inputs and results'!$C$101+'2. Inputs and results'!$C$103," ")</f>
        <v xml:space="preserve"> </v>
      </c>
      <c r="D36" s="4" t="e">
        <f>IF(A36&lt;('2. Inputs and results'!$C$23+1),D35+C36,NA())</f>
        <v>#N/A</v>
      </c>
      <c r="E36" s="4" t="str">
        <f>IF(A36&lt;('2. Inputs and results'!$C$23+1),C36/((1+$P$2)^A36)," ")</f>
        <v xml:space="preserve"> </v>
      </c>
      <c r="F36" s="4" t="str">
        <f>IF(B36&lt;('2. Inputs and results'!$C$23+1),F35+E36," ")</f>
        <v xml:space="preserve"> </v>
      </c>
      <c r="G36" s="4" t="str">
        <f>IF(A36&lt;('2. Inputs and results'!$C$23+1),G35*(1+'2. Inputs and results'!$C$46)," ")</f>
        <v xml:space="preserve"> </v>
      </c>
      <c r="H36" s="4" t="str">
        <f>IF(A36&lt;('2. Inputs and results'!$C$23+1),H35*(1+'2. Inputs and results'!$C$58)," ")</f>
        <v xml:space="preserve"> </v>
      </c>
      <c r="I36" s="4" t="str">
        <f>IF(A36&lt;('2. Inputs and results'!$C$23+1),I35*(1+'2. Inputs and results'!$C$34)," ")</f>
        <v xml:space="preserve"> </v>
      </c>
      <c r="J36" s="4" t="str">
        <f>IF(A36&lt;('2. Inputs and results'!$C$23+1),J35*(1+'2. Inputs and results'!$C$68)," ")</f>
        <v xml:space="preserve"> </v>
      </c>
      <c r="K36" s="4" t="e">
        <f>IF(A36&lt;('2. Inputs and results'!$C$23+1),K35+(G36+I36+H36+J36),NA())</f>
        <v>#N/A</v>
      </c>
      <c r="L36" s="4" t="e">
        <f>IF(A36&lt;('2. Inputs and results'!$C$23+1),L35,NA())</f>
        <v>#N/A</v>
      </c>
      <c r="M36" s="4" t="str">
        <f>IF(A36&lt;('2. Inputs and results'!$C$23+1),'2. Inputs and results'!$C$77*'2. Inputs and results'!$C$75," ")</f>
        <v xml:space="preserve"> </v>
      </c>
      <c r="N36" s="4" t="str">
        <f>IF(A36&lt;('2. Inputs and results'!$C$23+1),M36/((1+$P$2)^A36)," ")</f>
        <v xml:space="preserve"> </v>
      </c>
      <c r="O36" s="4" t="str">
        <f>IF(A36&lt;('2. Inputs and results'!$C$23+1),'2. Inputs and results'!$C$75*'2. Inputs and results'!$C$77+O35," ")</f>
        <v xml:space="preserve"> </v>
      </c>
      <c r="P36" s="4" t="str">
        <f>IF(A36&lt;('2. Inputs and results'!$C$23+1),(G36+I36+H36+J36)/((1+$P$2)^A36)," ")</f>
        <v xml:space="preserve"> </v>
      </c>
      <c r="Q36" s="4" t="str">
        <f>IF(A36&lt;('2. Inputs and results'!$C$23+1),Q35+P36," ")</f>
        <v xml:space="preserve"> </v>
      </c>
      <c r="R36" s="4" t="e">
        <f>IF(A36&lt;('2. Inputs and results'!$C$23+1),R35+G36+I36+H36+J36+T36-$V$6,NA())</f>
        <v>#N/A</v>
      </c>
      <c r="S36" s="4" t="str">
        <f>IF(A36&lt;('2. Inputs and results'!$C$23+1),'2. Inputs and results'!$C$81*(R35)," ")</f>
        <v xml:space="preserve"> </v>
      </c>
      <c r="T36" s="4">
        <f t="shared" si="1"/>
        <v>0</v>
      </c>
      <c r="U36" s="4" t="e">
        <f>IF(A36&lt;('2. Inputs and results'!$C$23+1),U35+((G36+I36+H36+J36-$V$6+T36)/((1+$P$2)^A36)),NA())</f>
        <v>#N/A</v>
      </c>
      <c r="V36" s="4" t="str">
        <f>IF(A36&lt;('2. Inputs and results'!$C$23+1),V35+('2. Inputs and results'!$C$77*'2. Inputs and results'!$C$75)," ")</f>
        <v xml:space="preserve"> </v>
      </c>
      <c r="W36" s="4" t="e">
        <f>IF(A36&lt;('2. Inputs and results'!$C$23+1),W35+C36+Y36-$V$6,NA())</f>
        <v>#N/A</v>
      </c>
      <c r="X36" s="4" t="str">
        <f>IF(A36&lt;('2. Inputs and results'!$C$23+1),'2. Inputs and results'!$C$81*(W35)," ")</f>
        <v xml:space="preserve"> </v>
      </c>
      <c r="Y36" s="4">
        <f t="shared" si="2"/>
        <v>0</v>
      </c>
      <c r="Z36" s="4" t="e">
        <f>IF(A36&lt;('2. Inputs and results'!$C$23+1),Z35+((C36-$V$6+Y36)/((1+$P$2)^A36)),NA())</f>
        <v>#N/A</v>
      </c>
      <c r="AA36" s="4" t="str">
        <f>IF(A36&lt;('2. Inputs and results'!$C$23+1),AA35+G36+I36+H36+T36-$V$6," ")</f>
        <v xml:space="preserve"> </v>
      </c>
      <c r="AB36" s="11" t="e">
        <f>IF(A36&lt;('2. Inputs and results'!$C$23+1),AA36/L36,NA())</f>
        <v>#N/A</v>
      </c>
      <c r="AC36" s="12" t="str">
        <f>IF(A36&lt;('2. Inputs and results'!$C$23+1),AC35+C36+Y36-$V$6," ")</f>
        <v xml:space="preserve"> </v>
      </c>
      <c r="AD36" s="11" t="e">
        <f>IF(A36&lt;('2. Inputs and results'!$C$23+1),AC36/L36,NA())</f>
        <v>#N/A</v>
      </c>
      <c r="AE36" t="str">
        <f>IF(A36&lt;('2. Inputs and results'!$C$23+1),-'2. Inputs and results'!$C$124*A36," ")</f>
        <v xml:space="preserve"> </v>
      </c>
      <c r="AF36" t="e">
        <f>IF(A36&lt;('2. Inputs and results'!$C$23+1),AE36/1000,NA())</f>
        <v>#N/A</v>
      </c>
    </row>
    <row r="37" spans="1:32">
      <c r="A37">
        <f t="shared" si="0"/>
        <v>32</v>
      </c>
      <c r="B37" t="str">
        <f>IF(A37&lt;('2. Inputs and results'!$C$23+1),A37," ")</f>
        <v xml:space="preserve"> </v>
      </c>
      <c r="C37" s="4" t="str">
        <f>IF(A37&lt;('2. Inputs and results'!$C$23+1),'2. Inputs and results'!$C$101+'2. Inputs and results'!$C$103," ")</f>
        <v xml:space="preserve"> </v>
      </c>
      <c r="D37" s="4" t="e">
        <f>IF(A37&lt;('2. Inputs and results'!$C$23+1),D36+C37,NA())</f>
        <v>#N/A</v>
      </c>
      <c r="E37" s="4" t="str">
        <f>IF(A37&lt;('2. Inputs and results'!$C$23+1),C37/((1+$P$2)^A37)," ")</f>
        <v xml:space="preserve"> </v>
      </c>
      <c r="F37" s="4" t="str">
        <f>IF(B37&lt;('2. Inputs and results'!$C$23+1),F36+E37," ")</f>
        <v xml:space="preserve"> </v>
      </c>
      <c r="G37" s="4" t="str">
        <f>IF(A37&lt;('2. Inputs and results'!$C$23+1),G36*(1+'2. Inputs and results'!$C$46)," ")</f>
        <v xml:space="preserve"> </v>
      </c>
      <c r="H37" s="4" t="str">
        <f>IF(A37&lt;('2. Inputs and results'!$C$23+1),H36*(1+'2. Inputs and results'!$C$58)," ")</f>
        <v xml:space="preserve"> </v>
      </c>
      <c r="I37" s="4" t="str">
        <f>IF(A37&lt;('2. Inputs and results'!$C$23+1),I36*(1+'2. Inputs and results'!$C$34)," ")</f>
        <v xml:space="preserve"> </v>
      </c>
      <c r="J37" s="4" t="str">
        <f>IF(A37&lt;('2. Inputs and results'!$C$23+1),J36*(1+'2. Inputs and results'!$C$68)," ")</f>
        <v xml:space="preserve"> </v>
      </c>
      <c r="K37" s="4" t="e">
        <f>IF(A37&lt;('2. Inputs and results'!$C$23+1),K36+(G37+I37+H37+J37),NA())</f>
        <v>#N/A</v>
      </c>
      <c r="L37" s="4" t="e">
        <f>IF(A37&lt;('2. Inputs and results'!$C$23+1),L36,NA())</f>
        <v>#N/A</v>
      </c>
      <c r="M37" s="4" t="str">
        <f>IF(A37&lt;('2. Inputs and results'!$C$23+1),'2. Inputs and results'!$C$77*'2. Inputs and results'!$C$75," ")</f>
        <v xml:space="preserve"> </v>
      </c>
      <c r="N37" s="4" t="str">
        <f>IF(A37&lt;('2. Inputs and results'!$C$23+1),M37/((1+$P$2)^A37)," ")</f>
        <v xml:space="preserve"> </v>
      </c>
      <c r="O37" s="4" t="str">
        <f>IF(A37&lt;('2. Inputs and results'!$C$23+1),'2. Inputs and results'!$C$75*'2. Inputs and results'!$C$77+O36," ")</f>
        <v xml:space="preserve"> </v>
      </c>
      <c r="P37" s="4" t="str">
        <f>IF(A37&lt;('2. Inputs and results'!$C$23+1),(G37+I37+H37+J37)/((1+$P$2)^A37)," ")</f>
        <v xml:space="preserve"> </v>
      </c>
      <c r="Q37" s="4" t="str">
        <f>IF(A37&lt;('2. Inputs and results'!$C$23+1),Q36+P37," ")</f>
        <v xml:space="preserve"> </v>
      </c>
      <c r="R37" s="4" t="e">
        <f>IF(A37&lt;('2. Inputs and results'!$C$23+1),R36+G37+I37+H37+J37+T37-$V$6,NA())</f>
        <v>#N/A</v>
      </c>
      <c r="S37" s="4" t="str">
        <f>IF(A37&lt;('2. Inputs and results'!$C$23+1),'2. Inputs and results'!$C$81*(R36)," ")</f>
        <v xml:space="preserve"> </v>
      </c>
      <c r="T37" s="4">
        <f t="shared" si="1"/>
        <v>0</v>
      </c>
      <c r="U37" s="4" t="e">
        <f>IF(A37&lt;('2. Inputs and results'!$C$23+1),U36+((G37+I37+H37+J37-$V$6+T37)/((1+$P$2)^A37)),NA())</f>
        <v>#N/A</v>
      </c>
      <c r="V37" s="4" t="str">
        <f>IF(A37&lt;('2. Inputs and results'!$C$23+1),V36+('2. Inputs and results'!$C$77*'2. Inputs and results'!$C$75)," ")</f>
        <v xml:space="preserve"> </v>
      </c>
      <c r="W37" s="4" t="e">
        <f>IF(A37&lt;('2. Inputs and results'!$C$23+1),W36+C37+Y37-$V$6,NA())</f>
        <v>#N/A</v>
      </c>
      <c r="X37" s="4" t="str">
        <f>IF(A37&lt;('2. Inputs and results'!$C$23+1),'2. Inputs and results'!$C$81*(W36)," ")</f>
        <v xml:space="preserve"> </v>
      </c>
      <c r="Y37" s="4">
        <f t="shared" si="2"/>
        <v>0</v>
      </c>
      <c r="Z37" s="4" t="e">
        <f>IF(A37&lt;('2. Inputs and results'!$C$23+1),Z36+((C37-$V$6+Y37)/((1+$P$2)^A37)),NA())</f>
        <v>#N/A</v>
      </c>
      <c r="AA37" s="4" t="str">
        <f>IF(A37&lt;('2. Inputs and results'!$C$23+1),AA36+G37+I37+H37+T37-$V$6," ")</f>
        <v xml:space="preserve"> </v>
      </c>
      <c r="AB37" s="11" t="e">
        <f>IF(A37&lt;('2. Inputs and results'!$C$23+1),AA37/L37,NA())</f>
        <v>#N/A</v>
      </c>
      <c r="AC37" s="12" t="str">
        <f>IF(A37&lt;('2. Inputs and results'!$C$23+1),AC36+C37+Y37-$V$6," ")</f>
        <v xml:space="preserve"> </v>
      </c>
      <c r="AD37" s="11" t="e">
        <f>IF(A37&lt;('2. Inputs and results'!$C$23+1),AC37/L37,NA())</f>
        <v>#N/A</v>
      </c>
      <c r="AE37" t="str">
        <f>IF(A37&lt;('2. Inputs and results'!$C$23+1),-'2. Inputs and results'!$C$124*A37," ")</f>
        <v xml:space="preserve"> </v>
      </c>
      <c r="AF37" t="e">
        <f>IF(A37&lt;('2. Inputs and results'!$C$23+1),AE37/1000,NA())</f>
        <v>#N/A</v>
      </c>
    </row>
    <row r="38" spans="1:32">
      <c r="A38">
        <f t="shared" si="0"/>
        <v>33</v>
      </c>
      <c r="B38" t="str">
        <f>IF(A38&lt;('2. Inputs and results'!$C$23+1),A38," ")</f>
        <v xml:space="preserve"> </v>
      </c>
      <c r="C38" s="4" t="str">
        <f>IF(A38&lt;('2. Inputs and results'!$C$23+1),'2. Inputs and results'!$C$101+'2. Inputs and results'!$C$103," ")</f>
        <v xml:space="preserve"> </v>
      </c>
      <c r="D38" s="4" t="e">
        <f>IF(A38&lt;('2. Inputs and results'!$C$23+1),D37+C38,NA())</f>
        <v>#N/A</v>
      </c>
      <c r="E38" s="4" t="str">
        <f>IF(A38&lt;('2. Inputs and results'!$C$23+1),C38/((1+$P$2)^A38)," ")</f>
        <v xml:space="preserve"> </v>
      </c>
      <c r="F38" s="4" t="str">
        <f>IF(B38&lt;('2. Inputs and results'!$C$23+1),F37+E38," ")</f>
        <v xml:space="preserve"> </v>
      </c>
      <c r="G38" s="4" t="str">
        <f>IF(A38&lt;('2. Inputs and results'!$C$23+1),G37*(1+'2. Inputs and results'!$C$46)," ")</f>
        <v xml:space="preserve"> </v>
      </c>
      <c r="H38" s="4" t="str">
        <f>IF(A38&lt;('2. Inputs and results'!$C$23+1),H37*(1+'2. Inputs and results'!$C$58)," ")</f>
        <v xml:space="preserve"> </v>
      </c>
      <c r="I38" s="4" t="str">
        <f>IF(A38&lt;('2. Inputs and results'!$C$23+1),I37*(1+'2. Inputs and results'!$C$34)," ")</f>
        <v xml:space="preserve"> </v>
      </c>
      <c r="J38" s="4" t="str">
        <f>IF(A38&lt;('2. Inputs and results'!$C$23+1),J37*(1+'2. Inputs and results'!$C$68)," ")</f>
        <v xml:space="preserve"> </v>
      </c>
      <c r="K38" s="4" t="e">
        <f>IF(A38&lt;('2. Inputs and results'!$C$23+1),K37+(G38+I38+H38+J38),NA())</f>
        <v>#N/A</v>
      </c>
      <c r="L38" s="4" t="e">
        <f>IF(A38&lt;('2. Inputs and results'!$C$23+1),L37,NA())</f>
        <v>#N/A</v>
      </c>
      <c r="M38" s="4" t="str">
        <f>IF(A38&lt;('2. Inputs and results'!$C$23+1),'2. Inputs and results'!$C$77*'2. Inputs and results'!$C$75," ")</f>
        <v xml:space="preserve"> </v>
      </c>
      <c r="N38" s="4" t="str">
        <f>IF(A38&lt;('2. Inputs and results'!$C$23+1),M38/((1+$P$2)^A38)," ")</f>
        <v xml:space="preserve"> </v>
      </c>
      <c r="O38" s="4" t="str">
        <f>IF(A38&lt;('2. Inputs and results'!$C$23+1),'2. Inputs and results'!$C$75*'2. Inputs and results'!$C$77+O37," ")</f>
        <v xml:space="preserve"> </v>
      </c>
      <c r="P38" s="4" t="str">
        <f>IF(A38&lt;('2. Inputs and results'!$C$23+1),(G38+I38+H38+J38)/((1+$P$2)^A38)," ")</f>
        <v xml:space="preserve"> </v>
      </c>
      <c r="Q38" s="4" t="str">
        <f>IF(A38&lt;('2. Inputs and results'!$C$23+1),Q37+P38," ")</f>
        <v xml:space="preserve"> </v>
      </c>
      <c r="R38" s="4" t="e">
        <f>IF(A38&lt;('2. Inputs and results'!$C$23+1),R37+G38+I38+H38+J38+T38-$V$6,NA())</f>
        <v>#N/A</v>
      </c>
      <c r="S38" s="4" t="str">
        <f>IF(A38&lt;('2. Inputs and results'!$C$23+1),'2. Inputs and results'!$C$81*(R37)," ")</f>
        <v xml:space="preserve"> </v>
      </c>
      <c r="T38" s="4">
        <f t="shared" si="1"/>
        <v>0</v>
      </c>
      <c r="U38" s="4" t="e">
        <f>IF(A38&lt;('2. Inputs and results'!$C$23+1),U37+((G38+I38+H38+J38-$V$6+T38)/((1+$P$2)^A38)),NA())</f>
        <v>#N/A</v>
      </c>
      <c r="V38" s="4" t="str">
        <f>IF(A38&lt;('2. Inputs and results'!$C$23+1),V37+('2. Inputs and results'!$C$77*'2. Inputs and results'!$C$75)," ")</f>
        <v xml:space="preserve"> </v>
      </c>
      <c r="W38" s="4" t="e">
        <f>IF(A38&lt;('2. Inputs and results'!$C$23+1),W37+C38+Y38-$V$6,NA())</f>
        <v>#N/A</v>
      </c>
      <c r="X38" s="4" t="str">
        <f>IF(A38&lt;('2. Inputs and results'!$C$23+1),'2. Inputs and results'!$C$81*(W37)," ")</f>
        <v xml:space="preserve"> </v>
      </c>
      <c r="Y38" s="4">
        <f t="shared" si="2"/>
        <v>0</v>
      </c>
      <c r="Z38" s="4" t="e">
        <f>IF(A38&lt;('2. Inputs and results'!$C$23+1),Z37+((C38-$V$6+Y38)/((1+$P$2)^A38)),NA())</f>
        <v>#N/A</v>
      </c>
      <c r="AA38" s="4" t="str">
        <f>IF(A38&lt;('2. Inputs and results'!$C$23+1),AA37+G38+I38+H38+T38-$V$6," ")</f>
        <v xml:space="preserve"> </v>
      </c>
      <c r="AB38" s="11" t="e">
        <f>IF(A38&lt;('2. Inputs and results'!$C$23+1),AA38/L38,NA())</f>
        <v>#N/A</v>
      </c>
      <c r="AC38" s="12" t="str">
        <f>IF(A38&lt;('2. Inputs and results'!$C$23+1),AC37+C38+Y38-$V$6," ")</f>
        <v xml:space="preserve"> </v>
      </c>
      <c r="AD38" s="11" t="e">
        <f>IF(A38&lt;('2. Inputs and results'!$C$23+1),AC38/L38,NA())</f>
        <v>#N/A</v>
      </c>
      <c r="AE38" t="str">
        <f>IF(A38&lt;('2. Inputs and results'!$C$23+1),-'2. Inputs and results'!$C$124*A38," ")</f>
        <v xml:space="preserve"> </v>
      </c>
      <c r="AF38" t="e">
        <f>IF(A38&lt;('2. Inputs and results'!$C$23+1),AE38/1000,NA())</f>
        <v>#N/A</v>
      </c>
    </row>
    <row r="39" spans="1:32">
      <c r="A39">
        <f t="shared" si="0"/>
        <v>34</v>
      </c>
      <c r="B39" t="str">
        <f>IF(A39&lt;('2. Inputs and results'!$C$23+1),A39," ")</f>
        <v xml:space="preserve"> </v>
      </c>
      <c r="C39" s="4" t="str">
        <f>IF(A39&lt;('2. Inputs and results'!$C$23+1),'2. Inputs and results'!$C$101+'2. Inputs and results'!$C$103," ")</f>
        <v xml:space="preserve"> </v>
      </c>
      <c r="D39" s="4" t="e">
        <f>IF(A39&lt;('2. Inputs and results'!$C$23+1),D38+C39,NA())</f>
        <v>#N/A</v>
      </c>
      <c r="E39" s="4" t="str">
        <f>IF(A39&lt;('2. Inputs and results'!$C$23+1),C39/((1+$P$2)^A39)," ")</f>
        <v xml:space="preserve"> </v>
      </c>
      <c r="F39" s="4" t="str">
        <f>IF(B39&lt;('2. Inputs and results'!$C$23+1),F38+E39," ")</f>
        <v xml:space="preserve"> </v>
      </c>
      <c r="G39" s="4" t="str">
        <f>IF(A39&lt;('2. Inputs and results'!$C$23+1),G38*(1+'2. Inputs and results'!$C$46)," ")</f>
        <v xml:space="preserve"> </v>
      </c>
      <c r="H39" s="4" t="str">
        <f>IF(A39&lt;('2. Inputs and results'!$C$23+1),H38*(1+'2. Inputs and results'!$C$58)," ")</f>
        <v xml:space="preserve"> </v>
      </c>
      <c r="I39" s="4" t="str">
        <f>IF(A39&lt;('2. Inputs and results'!$C$23+1),I38*(1+'2. Inputs and results'!$C$34)," ")</f>
        <v xml:space="preserve"> </v>
      </c>
      <c r="J39" s="4" t="str">
        <f>IF(A39&lt;('2. Inputs and results'!$C$23+1),J38*(1+'2. Inputs and results'!$C$68)," ")</f>
        <v xml:space="preserve"> </v>
      </c>
      <c r="K39" s="4" t="e">
        <f>IF(A39&lt;('2. Inputs and results'!$C$23+1),K38+(G39+I39+H39+J39),NA())</f>
        <v>#N/A</v>
      </c>
      <c r="L39" s="4" t="e">
        <f>IF(A39&lt;('2. Inputs and results'!$C$23+1),L38,NA())</f>
        <v>#N/A</v>
      </c>
      <c r="M39" s="4" t="str">
        <f>IF(A39&lt;('2. Inputs and results'!$C$23+1),'2. Inputs and results'!$C$77*'2. Inputs and results'!$C$75," ")</f>
        <v xml:space="preserve"> </v>
      </c>
      <c r="N39" s="4" t="str">
        <f>IF(A39&lt;('2. Inputs and results'!$C$23+1),M39/((1+$P$2)^A39)," ")</f>
        <v xml:space="preserve"> </v>
      </c>
      <c r="O39" s="4" t="str">
        <f>IF(A39&lt;('2. Inputs and results'!$C$23+1),'2. Inputs and results'!$C$75*'2. Inputs and results'!$C$77+O38," ")</f>
        <v xml:space="preserve"> </v>
      </c>
      <c r="P39" s="4" t="str">
        <f>IF(A39&lt;('2. Inputs and results'!$C$23+1),(G39+I39+H39+J39)/((1+$P$2)^A39)," ")</f>
        <v xml:space="preserve"> </v>
      </c>
      <c r="Q39" s="4" t="str">
        <f>IF(A39&lt;('2. Inputs and results'!$C$23+1),Q38+P39," ")</f>
        <v xml:space="preserve"> </v>
      </c>
      <c r="R39" s="4" t="e">
        <f>IF(A39&lt;('2. Inputs and results'!$C$23+1),R38+G39+I39+H39+J39+T39-$V$6,NA())</f>
        <v>#N/A</v>
      </c>
      <c r="S39" s="4" t="str">
        <f>IF(A39&lt;('2. Inputs and results'!$C$23+1),'2. Inputs and results'!$C$81*(R38)," ")</f>
        <v xml:space="preserve"> </v>
      </c>
      <c r="T39" s="4">
        <f t="shared" si="1"/>
        <v>0</v>
      </c>
      <c r="U39" s="4" t="e">
        <f>IF(A39&lt;('2. Inputs and results'!$C$23+1),U38+((G39+I39+H39+J39-$V$6+T39)/((1+$P$2)^A39)),NA())</f>
        <v>#N/A</v>
      </c>
      <c r="V39" s="4" t="str">
        <f>IF(A39&lt;('2. Inputs and results'!$C$23+1),V38+('2. Inputs and results'!$C$77*'2. Inputs and results'!$C$75)," ")</f>
        <v xml:space="preserve"> </v>
      </c>
      <c r="W39" s="4" t="e">
        <f>IF(A39&lt;('2. Inputs and results'!$C$23+1),W38+C39+Y39-$V$6,NA())</f>
        <v>#N/A</v>
      </c>
      <c r="X39" s="4" t="str">
        <f>IF(A39&lt;('2. Inputs and results'!$C$23+1),'2. Inputs and results'!$C$81*(W38)," ")</f>
        <v xml:space="preserve"> </v>
      </c>
      <c r="Y39" s="4">
        <f t="shared" si="2"/>
        <v>0</v>
      </c>
      <c r="Z39" s="4" t="e">
        <f>IF(A39&lt;('2. Inputs and results'!$C$23+1),Z38+((C39-$V$6+Y39)/((1+$P$2)^A39)),NA())</f>
        <v>#N/A</v>
      </c>
      <c r="AA39" s="4" t="str">
        <f>IF(A39&lt;('2. Inputs and results'!$C$23+1),AA38+G39+I39+H39+T39-$V$6," ")</f>
        <v xml:space="preserve"> </v>
      </c>
      <c r="AB39" s="11" t="e">
        <f>IF(A39&lt;('2. Inputs and results'!$C$23+1),AA39/L39,NA())</f>
        <v>#N/A</v>
      </c>
      <c r="AC39" s="12" t="str">
        <f>IF(A39&lt;('2. Inputs and results'!$C$23+1),AC38+C39+Y39-$V$6," ")</f>
        <v xml:space="preserve"> </v>
      </c>
      <c r="AD39" s="11" t="e">
        <f>IF(A39&lt;('2. Inputs and results'!$C$23+1),AC39/L39,NA())</f>
        <v>#N/A</v>
      </c>
      <c r="AE39" t="str">
        <f>IF(A39&lt;('2. Inputs and results'!$C$23+1),-'2. Inputs and results'!$C$124*A39," ")</f>
        <v xml:space="preserve"> </v>
      </c>
      <c r="AF39" t="e">
        <f>IF(A39&lt;('2. Inputs and results'!$C$23+1),AE39/1000,NA())</f>
        <v>#N/A</v>
      </c>
    </row>
    <row r="40" spans="1:32">
      <c r="A40">
        <f t="shared" si="0"/>
        <v>35</v>
      </c>
      <c r="B40" t="str">
        <f>IF(A40&lt;('2. Inputs and results'!$C$23+1),A40," ")</f>
        <v xml:space="preserve"> </v>
      </c>
      <c r="C40" s="4" t="str">
        <f>IF(A40&lt;('2. Inputs and results'!$C$23+1),'2. Inputs and results'!$C$101+'2. Inputs and results'!$C$103," ")</f>
        <v xml:space="preserve"> </v>
      </c>
      <c r="D40" s="4" t="e">
        <f>IF(A40&lt;('2. Inputs and results'!$C$23+1),D39+C40,NA())</f>
        <v>#N/A</v>
      </c>
      <c r="E40" s="4" t="str">
        <f>IF(A40&lt;('2. Inputs and results'!$C$23+1),C40/((1+$P$2)^A40)," ")</f>
        <v xml:space="preserve"> </v>
      </c>
      <c r="F40" s="4" t="str">
        <f>IF(B40&lt;('2. Inputs and results'!$C$23+1),F39+E40," ")</f>
        <v xml:space="preserve"> </v>
      </c>
      <c r="G40" s="4" t="str">
        <f>IF(A40&lt;('2. Inputs and results'!$C$23+1),G39*(1+'2. Inputs and results'!$C$46)," ")</f>
        <v xml:space="preserve"> </v>
      </c>
      <c r="H40" s="4" t="str">
        <f>IF(A40&lt;('2. Inputs and results'!$C$23+1),H39*(1+'2. Inputs and results'!$C$58)," ")</f>
        <v xml:space="preserve"> </v>
      </c>
      <c r="I40" s="4" t="str">
        <f>IF(A40&lt;('2. Inputs and results'!$C$23+1),I39*(1+'2. Inputs and results'!$C$34)," ")</f>
        <v xml:space="preserve"> </v>
      </c>
      <c r="J40" s="4" t="str">
        <f>IF(A40&lt;('2. Inputs and results'!$C$23+1),J39*(1+'2. Inputs and results'!$C$68)," ")</f>
        <v xml:space="preserve"> </v>
      </c>
      <c r="K40" s="4" t="e">
        <f>IF(A40&lt;('2. Inputs and results'!$C$23+1),K39+(G40+I40+H40+J40),NA())</f>
        <v>#N/A</v>
      </c>
      <c r="L40" s="4" t="e">
        <f>IF(A40&lt;('2. Inputs and results'!$C$23+1),L39,NA())</f>
        <v>#N/A</v>
      </c>
      <c r="M40" s="4" t="str">
        <f>IF(A40&lt;('2. Inputs and results'!$C$23+1),'2. Inputs and results'!$C$77*'2. Inputs and results'!$C$75," ")</f>
        <v xml:space="preserve"> </v>
      </c>
      <c r="N40" s="4" t="str">
        <f>IF(A40&lt;('2. Inputs and results'!$C$23+1),M40/((1+$P$2)^A40)," ")</f>
        <v xml:space="preserve"> </v>
      </c>
      <c r="O40" s="4" t="str">
        <f>IF(A40&lt;('2. Inputs and results'!$C$23+1),'2. Inputs and results'!$C$75*'2. Inputs and results'!$C$77+O39," ")</f>
        <v xml:space="preserve"> </v>
      </c>
      <c r="P40" s="4" t="str">
        <f>IF(A40&lt;('2. Inputs and results'!$C$23+1),(G40+I40+H40+J40)/((1+$P$2)^A40)," ")</f>
        <v xml:space="preserve"> </v>
      </c>
      <c r="Q40" s="4" t="str">
        <f>IF(A40&lt;('2. Inputs and results'!$C$23+1),Q39+P40," ")</f>
        <v xml:space="preserve"> </v>
      </c>
      <c r="R40" s="4" t="e">
        <f>IF(A40&lt;('2. Inputs and results'!$C$23+1),R39+G40+I40+H40+J40+T40-$V$6,NA())</f>
        <v>#N/A</v>
      </c>
      <c r="S40" s="4" t="str">
        <f>IF(A40&lt;('2. Inputs and results'!$C$23+1),'2. Inputs and results'!$C$81*(R39)," ")</f>
        <v xml:space="preserve"> </v>
      </c>
      <c r="T40" s="4">
        <f t="shared" si="1"/>
        <v>0</v>
      </c>
      <c r="U40" s="4" t="e">
        <f>IF(A40&lt;('2. Inputs and results'!$C$23+1),U39+((G40+I40+H40+J40-$V$6+T40)/((1+$P$2)^A40)),NA())</f>
        <v>#N/A</v>
      </c>
      <c r="V40" s="4" t="str">
        <f>IF(A40&lt;('2. Inputs and results'!$C$23+1),V39+('2. Inputs and results'!$C$77*'2. Inputs and results'!$C$75)," ")</f>
        <v xml:space="preserve"> </v>
      </c>
      <c r="W40" s="4" t="e">
        <f>IF(A40&lt;('2. Inputs and results'!$C$23+1),W39+C40+Y40-$V$6,NA())</f>
        <v>#N/A</v>
      </c>
      <c r="X40" s="4" t="str">
        <f>IF(A40&lt;('2. Inputs and results'!$C$23+1),'2. Inputs and results'!$C$81*(W39)," ")</f>
        <v xml:space="preserve"> </v>
      </c>
      <c r="Y40" s="4">
        <f t="shared" si="2"/>
        <v>0</v>
      </c>
      <c r="Z40" s="4" t="e">
        <f>IF(A40&lt;('2. Inputs and results'!$C$23+1),Z39+((C40-$V$6+Y40)/((1+$P$2)^A40)),NA())</f>
        <v>#N/A</v>
      </c>
      <c r="AA40" s="4" t="str">
        <f>IF(A40&lt;('2. Inputs and results'!$C$23+1),AA39+G40+I40+H40+T40-$V$6," ")</f>
        <v xml:space="preserve"> </v>
      </c>
      <c r="AB40" s="11" t="e">
        <f>IF(A40&lt;('2. Inputs and results'!$C$23+1),AA40/L40,NA())</f>
        <v>#N/A</v>
      </c>
      <c r="AC40" s="12" t="str">
        <f>IF(A40&lt;('2. Inputs and results'!$C$23+1),AC39+C40+Y40-$V$6," ")</f>
        <v xml:space="preserve"> </v>
      </c>
      <c r="AD40" s="11" t="e">
        <f>IF(A40&lt;('2. Inputs and results'!$C$23+1),AC40/L40,NA())</f>
        <v>#N/A</v>
      </c>
      <c r="AE40" t="str">
        <f>IF(A40&lt;('2. Inputs and results'!$C$23+1),-'2. Inputs and results'!$C$124*A40," ")</f>
        <v xml:space="preserve"> </v>
      </c>
      <c r="AF40" t="e">
        <f>IF(A40&lt;('2. Inputs and results'!$C$23+1),AE40/1000,NA())</f>
        <v>#N/A</v>
      </c>
    </row>
    <row r="41" spans="1:32">
      <c r="A41">
        <f t="shared" si="0"/>
        <v>36</v>
      </c>
      <c r="B41" t="str">
        <f>IF(A41&lt;('2. Inputs and results'!$C$23+1),A41," ")</f>
        <v xml:space="preserve"> </v>
      </c>
      <c r="C41" s="4" t="str">
        <f>IF(A41&lt;('2. Inputs and results'!$C$23+1),'2. Inputs and results'!$C$101+'2. Inputs and results'!$C$103," ")</f>
        <v xml:space="preserve"> </v>
      </c>
      <c r="D41" s="4" t="e">
        <f>IF(A41&lt;('2. Inputs and results'!$C$23+1),D40+C41,NA())</f>
        <v>#N/A</v>
      </c>
      <c r="E41" s="4" t="str">
        <f>IF(A41&lt;('2. Inputs and results'!$C$23+1),C41/((1+$P$2)^A41)," ")</f>
        <v xml:space="preserve"> </v>
      </c>
      <c r="F41" s="4" t="str">
        <f>IF(B41&lt;('2. Inputs and results'!$C$23+1),F40+E41," ")</f>
        <v xml:space="preserve"> </v>
      </c>
      <c r="G41" s="4" t="str">
        <f>IF(A41&lt;('2. Inputs and results'!$C$23+1),G40*(1+'2. Inputs and results'!$C$46)," ")</f>
        <v xml:space="preserve"> </v>
      </c>
      <c r="H41" s="4" t="str">
        <f>IF(A41&lt;('2. Inputs and results'!$C$23+1),H40*(1+'2. Inputs and results'!$C$58)," ")</f>
        <v xml:space="preserve"> </v>
      </c>
      <c r="I41" s="4" t="str">
        <f>IF(A41&lt;('2. Inputs and results'!$C$23+1),I40*(1+'2. Inputs and results'!$C$34)," ")</f>
        <v xml:space="preserve"> </v>
      </c>
      <c r="J41" s="4" t="str">
        <f>IF(A41&lt;('2. Inputs and results'!$C$23+1),J40*(1+'2. Inputs and results'!$C$68)," ")</f>
        <v xml:space="preserve"> </v>
      </c>
      <c r="K41" s="4" t="e">
        <f>IF(A41&lt;('2. Inputs and results'!$C$23+1),K40+(G41+I41+H41+J41),NA())</f>
        <v>#N/A</v>
      </c>
      <c r="L41" s="4" t="e">
        <f>IF(A41&lt;('2. Inputs and results'!$C$23+1),L40,NA())</f>
        <v>#N/A</v>
      </c>
      <c r="M41" s="4" t="str">
        <f>IF(A41&lt;('2. Inputs and results'!$C$23+1),'2. Inputs and results'!$C$77*'2. Inputs and results'!$C$75," ")</f>
        <v xml:space="preserve"> </v>
      </c>
      <c r="N41" s="4" t="str">
        <f>IF(A41&lt;('2. Inputs and results'!$C$23+1),M41/((1+$P$2)^A41)," ")</f>
        <v xml:space="preserve"> </v>
      </c>
      <c r="O41" s="4" t="str">
        <f>IF(A41&lt;('2. Inputs and results'!$C$23+1),'2. Inputs and results'!$C$75*'2. Inputs and results'!$C$77+O40," ")</f>
        <v xml:space="preserve"> </v>
      </c>
      <c r="P41" s="4" t="str">
        <f>IF(A41&lt;('2. Inputs and results'!$C$23+1),(G41+I41+H41+J41)/((1+$P$2)^A41)," ")</f>
        <v xml:space="preserve"> </v>
      </c>
      <c r="Q41" s="4" t="str">
        <f>IF(A41&lt;('2. Inputs and results'!$C$23+1),Q40+P41," ")</f>
        <v xml:space="preserve"> </v>
      </c>
      <c r="R41" s="4" t="e">
        <f>IF(A41&lt;('2. Inputs and results'!$C$23+1),R40+G41+I41+H41+J41+T41-$V$6,NA())</f>
        <v>#N/A</v>
      </c>
      <c r="S41" s="4" t="str">
        <f>IF(A41&lt;('2. Inputs and results'!$C$23+1),'2. Inputs and results'!$C$81*(R40)," ")</f>
        <v xml:space="preserve"> </v>
      </c>
      <c r="T41" s="4">
        <f t="shared" si="1"/>
        <v>0</v>
      </c>
      <c r="U41" s="4" t="e">
        <f>IF(A41&lt;('2. Inputs and results'!$C$23+1),U40+((G41+I41+H41+J41-$V$6+T41)/((1+$P$2)^A41)),NA())</f>
        <v>#N/A</v>
      </c>
      <c r="V41" s="4" t="str">
        <f>IF(A41&lt;('2. Inputs and results'!$C$23+1),V40+('2. Inputs and results'!$C$77*'2. Inputs and results'!$C$75)," ")</f>
        <v xml:space="preserve"> </v>
      </c>
      <c r="W41" s="4" t="e">
        <f>IF(A41&lt;('2. Inputs and results'!$C$23+1),W40+C41+Y41-$V$6,NA())</f>
        <v>#N/A</v>
      </c>
      <c r="X41" s="4" t="str">
        <f>IF(A41&lt;('2. Inputs and results'!$C$23+1),'2. Inputs and results'!$C$81*(W40)," ")</f>
        <v xml:space="preserve"> </v>
      </c>
      <c r="Y41" s="4">
        <f t="shared" si="2"/>
        <v>0</v>
      </c>
      <c r="Z41" s="4" t="e">
        <f>IF(A41&lt;('2. Inputs and results'!$C$23+1),Z40+((C41-$V$6+Y41)/((1+$P$2)^A41)),NA())</f>
        <v>#N/A</v>
      </c>
      <c r="AA41" s="4" t="str">
        <f>IF(A41&lt;('2. Inputs and results'!$C$23+1),AA40+G41+I41+H41+T41-$V$6," ")</f>
        <v xml:space="preserve"> </v>
      </c>
      <c r="AB41" s="11" t="e">
        <f>IF(A41&lt;('2. Inputs and results'!$C$23+1),AA41/L41,NA())</f>
        <v>#N/A</v>
      </c>
      <c r="AC41" s="12" t="str">
        <f>IF(A41&lt;('2. Inputs and results'!$C$23+1),AC40+C41+Y41-$V$6," ")</f>
        <v xml:space="preserve"> </v>
      </c>
      <c r="AD41" s="11" t="e">
        <f>IF(A41&lt;('2. Inputs and results'!$C$23+1),AC41/L41,NA())</f>
        <v>#N/A</v>
      </c>
      <c r="AE41" t="str">
        <f>IF(A41&lt;('2. Inputs and results'!$C$23+1),-'2. Inputs and results'!$C$124*A41," ")</f>
        <v xml:space="preserve"> </v>
      </c>
      <c r="AF41" t="e">
        <f>IF(A41&lt;('2. Inputs and results'!$C$23+1),AE41/1000,NA())</f>
        <v>#N/A</v>
      </c>
    </row>
    <row r="42" spans="1:32">
      <c r="A42">
        <f t="shared" si="0"/>
        <v>37</v>
      </c>
      <c r="B42" t="str">
        <f>IF(A42&lt;('2. Inputs and results'!$C$23+1),A42," ")</f>
        <v xml:space="preserve"> </v>
      </c>
      <c r="C42" s="4" t="str">
        <f>IF(A42&lt;('2. Inputs and results'!$C$23+1),'2. Inputs and results'!$C$101+'2. Inputs and results'!$C$103," ")</f>
        <v xml:space="preserve"> </v>
      </c>
      <c r="D42" s="4" t="e">
        <f>IF(A42&lt;('2. Inputs and results'!$C$23+1),D41+C42,NA())</f>
        <v>#N/A</v>
      </c>
      <c r="E42" s="4" t="str">
        <f>IF(A42&lt;('2. Inputs and results'!$C$23+1),C42/((1+$P$2)^A42)," ")</f>
        <v xml:space="preserve"> </v>
      </c>
      <c r="F42" s="4" t="str">
        <f>IF(B42&lt;('2. Inputs and results'!$C$23+1),F41+E42," ")</f>
        <v xml:space="preserve"> </v>
      </c>
      <c r="G42" s="4" t="str">
        <f>IF(A42&lt;('2. Inputs and results'!$C$23+1),G41*(1+'2. Inputs and results'!$C$46)," ")</f>
        <v xml:space="preserve"> </v>
      </c>
      <c r="H42" s="4" t="str">
        <f>IF(A42&lt;('2. Inputs and results'!$C$23+1),H41*(1+'2. Inputs and results'!$C$58)," ")</f>
        <v xml:space="preserve"> </v>
      </c>
      <c r="I42" s="4" t="str">
        <f>IF(A42&lt;('2. Inputs and results'!$C$23+1),I41*(1+'2. Inputs and results'!$C$34)," ")</f>
        <v xml:space="preserve"> </v>
      </c>
      <c r="J42" s="4" t="str">
        <f>IF(A42&lt;('2. Inputs and results'!$C$23+1),J41*(1+'2. Inputs and results'!$C$68)," ")</f>
        <v xml:space="preserve"> </v>
      </c>
      <c r="K42" s="4" t="e">
        <f>IF(A42&lt;('2. Inputs and results'!$C$23+1),K41+(G42+I42+H42+J42),NA())</f>
        <v>#N/A</v>
      </c>
      <c r="L42" s="4" t="e">
        <f>IF(A42&lt;('2. Inputs and results'!$C$23+1),L41,NA())</f>
        <v>#N/A</v>
      </c>
      <c r="M42" s="4" t="str">
        <f>IF(A42&lt;('2. Inputs and results'!$C$23+1),'2. Inputs and results'!$C$77*'2. Inputs and results'!$C$75," ")</f>
        <v xml:space="preserve"> </v>
      </c>
      <c r="N42" s="4" t="str">
        <f>IF(A42&lt;('2. Inputs and results'!$C$23+1),M42/((1+$P$2)^A42)," ")</f>
        <v xml:space="preserve"> </v>
      </c>
      <c r="O42" s="4" t="str">
        <f>IF(A42&lt;('2. Inputs and results'!$C$23+1),'2. Inputs and results'!$C$75*'2. Inputs and results'!$C$77+O41," ")</f>
        <v xml:space="preserve"> </v>
      </c>
      <c r="P42" s="4" t="str">
        <f>IF(A42&lt;('2. Inputs and results'!$C$23+1),(G42+I42+H42+J42)/((1+$P$2)^A42)," ")</f>
        <v xml:space="preserve"> </v>
      </c>
      <c r="Q42" s="4" t="str">
        <f>IF(A42&lt;('2. Inputs and results'!$C$23+1),Q41+P42," ")</f>
        <v xml:space="preserve"> </v>
      </c>
      <c r="R42" s="4" t="e">
        <f>IF(A42&lt;('2. Inputs and results'!$C$23+1),R41+G42+I42+H42+J42+T42-$V$6,NA())</f>
        <v>#N/A</v>
      </c>
      <c r="S42" s="4" t="str">
        <f>IF(A42&lt;('2. Inputs and results'!$C$23+1),'2. Inputs and results'!$C$81*(R41)," ")</f>
        <v xml:space="preserve"> </v>
      </c>
      <c r="T42" s="4">
        <f t="shared" si="1"/>
        <v>0</v>
      </c>
      <c r="U42" s="4" t="e">
        <f>IF(A42&lt;('2. Inputs and results'!$C$23+1),U41+((G42+I42+H42+J42-$V$6+T42)/((1+$P$2)^A42)),NA())</f>
        <v>#N/A</v>
      </c>
      <c r="V42" s="4" t="str">
        <f>IF(A42&lt;('2. Inputs and results'!$C$23+1),V41+('2. Inputs and results'!$C$77*'2. Inputs and results'!$C$75)," ")</f>
        <v xml:space="preserve"> </v>
      </c>
      <c r="W42" s="4" t="e">
        <f>IF(A42&lt;('2. Inputs and results'!$C$23+1),W41+C42+Y42-$V$6,NA())</f>
        <v>#N/A</v>
      </c>
      <c r="X42" s="4" t="str">
        <f>IF(A42&lt;('2. Inputs and results'!$C$23+1),'2. Inputs and results'!$C$81*(W41)," ")</f>
        <v xml:space="preserve"> </v>
      </c>
      <c r="Y42" s="4">
        <f t="shared" si="2"/>
        <v>0</v>
      </c>
      <c r="Z42" s="4" t="e">
        <f>IF(A42&lt;('2. Inputs and results'!$C$23+1),Z41+((C42-$V$6+Y42)/((1+$P$2)^A42)),NA())</f>
        <v>#N/A</v>
      </c>
      <c r="AA42" s="4" t="str">
        <f>IF(A42&lt;('2. Inputs and results'!$C$23+1),AA41+G42+I42+H42+T42-$V$6," ")</f>
        <v xml:space="preserve"> </v>
      </c>
      <c r="AB42" s="11" t="e">
        <f>IF(A42&lt;('2. Inputs and results'!$C$23+1),AA42/L42,NA())</f>
        <v>#N/A</v>
      </c>
      <c r="AC42" s="12" t="str">
        <f>IF(A42&lt;('2. Inputs and results'!$C$23+1),AC41+C42+Y42-$V$6," ")</f>
        <v xml:space="preserve"> </v>
      </c>
      <c r="AD42" s="11" t="e">
        <f>IF(A42&lt;('2. Inputs and results'!$C$23+1),AC42/L42,NA())</f>
        <v>#N/A</v>
      </c>
      <c r="AE42" t="str">
        <f>IF(A42&lt;('2. Inputs and results'!$C$23+1),-'2. Inputs and results'!$C$124*A42," ")</f>
        <v xml:space="preserve"> </v>
      </c>
      <c r="AF42" t="e">
        <f>IF(A42&lt;('2. Inputs and results'!$C$23+1),AE42/1000,NA())</f>
        <v>#N/A</v>
      </c>
    </row>
    <row r="43" spans="1:32">
      <c r="A43">
        <f t="shared" si="0"/>
        <v>38</v>
      </c>
      <c r="B43" t="str">
        <f>IF(A43&lt;('2. Inputs and results'!$C$23+1),A43," ")</f>
        <v xml:space="preserve"> </v>
      </c>
      <c r="C43" s="4" t="str">
        <f>IF(A43&lt;('2. Inputs and results'!$C$23+1),'2. Inputs and results'!$C$101+'2. Inputs and results'!$C$103," ")</f>
        <v xml:space="preserve"> </v>
      </c>
      <c r="D43" s="4" t="e">
        <f>IF(A43&lt;('2. Inputs and results'!$C$23+1),D42+C43,NA())</f>
        <v>#N/A</v>
      </c>
      <c r="E43" s="4" t="str">
        <f>IF(A43&lt;('2. Inputs and results'!$C$23+1),C43/((1+$P$2)^A43)," ")</f>
        <v xml:space="preserve"> </v>
      </c>
      <c r="F43" s="4" t="str">
        <f>IF(B43&lt;('2. Inputs and results'!$C$23+1),F42+E43," ")</f>
        <v xml:space="preserve"> </v>
      </c>
      <c r="G43" s="4" t="str">
        <f>IF(A43&lt;('2. Inputs and results'!$C$23+1),G42*(1+'2. Inputs and results'!$C$46)," ")</f>
        <v xml:space="preserve"> </v>
      </c>
      <c r="H43" s="4" t="str">
        <f>IF(A43&lt;('2. Inputs and results'!$C$23+1),H42*(1+'2. Inputs and results'!$C$58)," ")</f>
        <v xml:space="preserve"> </v>
      </c>
      <c r="I43" s="4" t="str">
        <f>IF(A43&lt;('2. Inputs and results'!$C$23+1),I42*(1+'2. Inputs and results'!$C$34)," ")</f>
        <v xml:space="preserve"> </v>
      </c>
      <c r="J43" s="4" t="str">
        <f>IF(A43&lt;('2. Inputs and results'!$C$23+1),J42*(1+'2. Inputs and results'!$C$68)," ")</f>
        <v xml:space="preserve"> </v>
      </c>
      <c r="K43" s="4" t="e">
        <f>IF(A43&lt;('2. Inputs and results'!$C$23+1),K42+(G43+I43+H43+J43),NA())</f>
        <v>#N/A</v>
      </c>
      <c r="L43" s="4" t="e">
        <f>IF(A43&lt;('2. Inputs and results'!$C$23+1),L42,NA())</f>
        <v>#N/A</v>
      </c>
      <c r="M43" s="4" t="str">
        <f>IF(A43&lt;('2. Inputs and results'!$C$23+1),'2. Inputs and results'!$C$77*'2. Inputs and results'!$C$75," ")</f>
        <v xml:space="preserve"> </v>
      </c>
      <c r="N43" s="4" t="str">
        <f>IF(A43&lt;('2. Inputs and results'!$C$23+1),M43/((1+$P$2)^A43)," ")</f>
        <v xml:space="preserve"> </v>
      </c>
      <c r="O43" s="4" t="str">
        <f>IF(A43&lt;('2. Inputs and results'!$C$23+1),'2. Inputs and results'!$C$75*'2. Inputs and results'!$C$77+O42," ")</f>
        <v xml:space="preserve"> </v>
      </c>
      <c r="P43" s="4" t="str">
        <f>IF(A43&lt;('2. Inputs and results'!$C$23+1),(G43+I43+H43+J43)/((1+$P$2)^A43)," ")</f>
        <v xml:space="preserve"> </v>
      </c>
      <c r="Q43" s="4" t="str">
        <f>IF(A43&lt;('2. Inputs and results'!$C$23+1),Q42+P43," ")</f>
        <v xml:space="preserve"> </v>
      </c>
      <c r="R43" s="4" t="e">
        <f>IF(A43&lt;('2. Inputs and results'!$C$23+1),R42+G43+I43+H43+J43+T43-$V$6,NA())</f>
        <v>#N/A</v>
      </c>
      <c r="S43" s="4" t="str">
        <f>IF(A43&lt;('2. Inputs and results'!$C$23+1),'2. Inputs and results'!$C$81*(R42)," ")</f>
        <v xml:space="preserve"> </v>
      </c>
      <c r="T43" s="4">
        <f t="shared" si="1"/>
        <v>0</v>
      </c>
      <c r="U43" s="4" t="e">
        <f>IF(A43&lt;('2. Inputs and results'!$C$23+1),U42+((G43+I43+H43+J43-$V$6+T43)/((1+$P$2)^A43)),NA())</f>
        <v>#N/A</v>
      </c>
      <c r="V43" s="4" t="str">
        <f>IF(A43&lt;('2. Inputs and results'!$C$23+1),V42+('2. Inputs and results'!$C$77*'2. Inputs and results'!$C$75)," ")</f>
        <v xml:space="preserve"> </v>
      </c>
      <c r="W43" s="4" t="e">
        <f>IF(A43&lt;('2. Inputs and results'!$C$23+1),W42+C43+Y43-$V$6,NA())</f>
        <v>#N/A</v>
      </c>
      <c r="X43" s="4" t="str">
        <f>IF(A43&lt;('2. Inputs and results'!$C$23+1),'2. Inputs and results'!$C$81*(W42)," ")</f>
        <v xml:space="preserve"> </v>
      </c>
      <c r="Y43" s="4">
        <f t="shared" si="2"/>
        <v>0</v>
      </c>
      <c r="Z43" s="4" t="e">
        <f>IF(A43&lt;('2. Inputs and results'!$C$23+1),Z42+((C43-$V$6+Y43)/((1+$P$2)^A43)),NA())</f>
        <v>#N/A</v>
      </c>
      <c r="AA43" s="4" t="str">
        <f>IF(A43&lt;('2. Inputs and results'!$C$23+1),AA42+G43+I43+H43+T43-$V$6," ")</f>
        <v xml:space="preserve"> </v>
      </c>
      <c r="AB43" s="11" t="e">
        <f>IF(A43&lt;('2. Inputs and results'!$C$23+1),AA43/L43,NA())</f>
        <v>#N/A</v>
      </c>
      <c r="AC43" s="12" t="str">
        <f>IF(A43&lt;('2. Inputs and results'!$C$23+1),AC42+C43+Y43-$V$6," ")</f>
        <v xml:space="preserve"> </v>
      </c>
      <c r="AD43" s="11" t="e">
        <f>IF(A43&lt;('2. Inputs and results'!$C$23+1),AC43/L43,NA())</f>
        <v>#N/A</v>
      </c>
      <c r="AE43" t="str">
        <f>IF(A43&lt;('2. Inputs and results'!$C$23+1),-'2. Inputs and results'!$C$124*A43," ")</f>
        <v xml:space="preserve"> </v>
      </c>
      <c r="AF43" t="e">
        <f>IF(A43&lt;('2. Inputs and results'!$C$23+1),AE43/1000,NA())</f>
        <v>#N/A</v>
      </c>
    </row>
    <row r="44" spans="1:32">
      <c r="A44">
        <f t="shared" si="0"/>
        <v>39</v>
      </c>
      <c r="B44" t="str">
        <f>IF(A44&lt;('2. Inputs and results'!$C$23+1),A44," ")</f>
        <v xml:space="preserve"> </v>
      </c>
      <c r="C44" s="4" t="str">
        <f>IF(A44&lt;('2. Inputs and results'!$C$23+1),'2. Inputs and results'!$C$101+'2. Inputs and results'!$C$103," ")</f>
        <v xml:space="preserve"> </v>
      </c>
      <c r="D44" s="4" t="e">
        <f>IF(A44&lt;('2. Inputs and results'!$C$23+1),D43+C44,NA())</f>
        <v>#N/A</v>
      </c>
      <c r="E44" s="4" t="str">
        <f>IF(A44&lt;('2. Inputs and results'!$C$23+1),C44/((1+$P$2)^A44)," ")</f>
        <v xml:space="preserve"> </v>
      </c>
      <c r="F44" s="4" t="str">
        <f>IF(B44&lt;('2. Inputs and results'!$C$23+1),F43+E44," ")</f>
        <v xml:space="preserve"> </v>
      </c>
      <c r="G44" s="4" t="str">
        <f>IF(A44&lt;('2. Inputs and results'!$C$23+1),G43*(1+'2. Inputs and results'!$C$46)," ")</f>
        <v xml:space="preserve"> </v>
      </c>
      <c r="H44" s="4" t="str">
        <f>IF(A44&lt;('2. Inputs and results'!$C$23+1),H43*(1+'2. Inputs and results'!$C$58)," ")</f>
        <v xml:space="preserve"> </v>
      </c>
      <c r="I44" s="4" t="str">
        <f>IF(A44&lt;('2. Inputs and results'!$C$23+1),I43*(1+'2. Inputs and results'!$C$34)," ")</f>
        <v xml:space="preserve"> </v>
      </c>
      <c r="J44" s="4" t="str">
        <f>IF(A44&lt;('2. Inputs and results'!$C$23+1),J43*(1+'2. Inputs and results'!$C$68)," ")</f>
        <v xml:space="preserve"> </v>
      </c>
      <c r="K44" s="4" t="e">
        <f>IF(A44&lt;('2. Inputs and results'!$C$23+1),K43+(G44+I44+H44+J44),NA())</f>
        <v>#N/A</v>
      </c>
      <c r="L44" s="4" t="e">
        <f>IF(A44&lt;('2. Inputs and results'!$C$23+1),L43,NA())</f>
        <v>#N/A</v>
      </c>
      <c r="M44" s="4" t="str">
        <f>IF(A44&lt;('2. Inputs and results'!$C$23+1),'2. Inputs and results'!$C$77*'2. Inputs and results'!$C$75," ")</f>
        <v xml:space="preserve"> </v>
      </c>
      <c r="N44" s="4" t="str">
        <f>IF(A44&lt;('2. Inputs and results'!$C$23+1),M44/((1+$P$2)^A44)," ")</f>
        <v xml:space="preserve"> </v>
      </c>
      <c r="O44" s="4" t="str">
        <f>IF(A44&lt;('2. Inputs and results'!$C$23+1),'2. Inputs and results'!$C$75*'2. Inputs and results'!$C$77+O43," ")</f>
        <v xml:space="preserve"> </v>
      </c>
      <c r="P44" s="4" t="str">
        <f>IF(A44&lt;('2. Inputs and results'!$C$23+1),(G44+I44+H44+J44)/((1+$P$2)^A44)," ")</f>
        <v xml:space="preserve"> </v>
      </c>
      <c r="Q44" s="4" t="str">
        <f>IF(A44&lt;('2. Inputs and results'!$C$23+1),Q43+P44," ")</f>
        <v xml:space="preserve"> </v>
      </c>
      <c r="R44" s="4" t="e">
        <f>IF(A44&lt;('2. Inputs and results'!$C$23+1),R43+G44+I44+H44+J44+T44-$V$6,NA())</f>
        <v>#N/A</v>
      </c>
      <c r="S44" s="4" t="str">
        <f>IF(A44&lt;('2. Inputs and results'!$C$23+1),'2. Inputs and results'!$C$81*(R43)," ")</f>
        <v xml:space="preserve"> </v>
      </c>
      <c r="T44" s="4">
        <f t="shared" si="1"/>
        <v>0</v>
      </c>
      <c r="U44" s="4" t="e">
        <f>IF(A44&lt;('2. Inputs and results'!$C$23+1),U43+((G44+I44+H44+J44-$V$6+T44)/((1+$P$2)^A44)),NA())</f>
        <v>#N/A</v>
      </c>
      <c r="V44" s="4" t="str">
        <f>IF(A44&lt;('2. Inputs and results'!$C$23+1),V43+('2. Inputs and results'!$C$77*'2. Inputs and results'!$C$75)," ")</f>
        <v xml:space="preserve"> </v>
      </c>
      <c r="W44" s="4" t="e">
        <f>IF(A44&lt;('2. Inputs and results'!$C$23+1),W43+C44+Y44-$V$6,NA())</f>
        <v>#N/A</v>
      </c>
      <c r="X44" s="4" t="str">
        <f>IF(A44&lt;('2. Inputs and results'!$C$23+1),'2. Inputs and results'!$C$81*(W43)," ")</f>
        <v xml:space="preserve"> </v>
      </c>
      <c r="Y44" s="4">
        <f t="shared" si="2"/>
        <v>0</v>
      </c>
      <c r="Z44" s="4" t="e">
        <f>IF(A44&lt;('2. Inputs and results'!$C$23+1),Z43+((C44-$V$6+Y44)/((1+$P$2)^A44)),NA())</f>
        <v>#N/A</v>
      </c>
      <c r="AA44" s="4" t="str">
        <f>IF(A44&lt;('2. Inputs and results'!$C$23+1),AA43+G44+I44+H44+T44-$V$6," ")</f>
        <v xml:space="preserve"> </v>
      </c>
      <c r="AB44" s="11" t="e">
        <f>IF(A44&lt;('2. Inputs and results'!$C$23+1),AA44/L44,NA())</f>
        <v>#N/A</v>
      </c>
      <c r="AC44" s="12" t="str">
        <f>IF(A44&lt;('2. Inputs and results'!$C$23+1),AC43+C44+Y44-$V$6," ")</f>
        <v xml:space="preserve"> </v>
      </c>
      <c r="AD44" s="11" t="e">
        <f>IF(A44&lt;('2. Inputs and results'!$C$23+1),AC44/L44,NA())</f>
        <v>#N/A</v>
      </c>
      <c r="AE44" t="str">
        <f>IF(A44&lt;('2. Inputs and results'!$C$23+1),-'2. Inputs and results'!$C$124*A44," ")</f>
        <v xml:space="preserve"> </v>
      </c>
      <c r="AF44" t="e">
        <f>IF(A44&lt;('2. Inputs and results'!$C$23+1),AE44/1000,NA())</f>
        <v>#N/A</v>
      </c>
    </row>
    <row r="45" spans="1:32">
      <c r="A45">
        <f t="shared" si="0"/>
        <v>40</v>
      </c>
      <c r="B45" t="str">
        <f>IF(A45&lt;('2. Inputs and results'!$C$23+1),A45," ")</f>
        <v xml:space="preserve"> </v>
      </c>
      <c r="C45" s="4" t="str">
        <f>IF(A45&lt;('2. Inputs and results'!$C$23+1),'2. Inputs and results'!$C$101+'2. Inputs and results'!$C$103," ")</f>
        <v xml:space="preserve"> </v>
      </c>
      <c r="D45" s="4" t="e">
        <f>IF(A45&lt;('2. Inputs and results'!$C$23+1),D44+C45,NA())</f>
        <v>#N/A</v>
      </c>
      <c r="E45" s="4" t="str">
        <f>IF(A45&lt;('2. Inputs and results'!$C$23+1),C45/((1+$P$2)^A45)," ")</f>
        <v xml:space="preserve"> </v>
      </c>
      <c r="F45" s="4" t="str">
        <f>IF(B45&lt;('2. Inputs and results'!$C$23+1),F44+E45," ")</f>
        <v xml:space="preserve"> </v>
      </c>
      <c r="G45" s="4" t="str">
        <f>IF(A45&lt;('2. Inputs and results'!$C$23+1),G44*(1+'2. Inputs and results'!$C$46)," ")</f>
        <v xml:space="preserve"> </v>
      </c>
      <c r="H45" s="4" t="str">
        <f>IF(A45&lt;('2. Inputs and results'!$C$23+1),H44*(1+'2. Inputs and results'!$C$58)," ")</f>
        <v xml:space="preserve"> </v>
      </c>
      <c r="I45" s="4" t="str">
        <f>IF(A45&lt;('2. Inputs and results'!$C$23+1),I44*(1+'2. Inputs and results'!$C$34)," ")</f>
        <v xml:space="preserve"> </v>
      </c>
      <c r="J45" s="4" t="str">
        <f>IF(A45&lt;('2. Inputs and results'!$C$23+1),J44*(1+'2. Inputs and results'!$C$68)," ")</f>
        <v xml:space="preserve"> </v>
      </c>
      <c r="K45" s="4" t="e">
        <f>IF(A45&lt;('2. Inputs and results'!$C$23+1),K44+(G45+I45+H45+J45),NA())</f>
        <v>#N/A</v>
      </c>
      <c r="L45" s="4" t="e">
        <f>IF(A45&lt;('2. Inputs and results'!$C$23+1),L44,NA())</f>
        <v>#N/A</v>
      </c>
      <c r="M45" s="4" t="str">
        <f>IF(A45&lt;('2. Inputs and results'!$C$23+1),'2. Inputs and results'!$C$77*'2. Inputs and results'!$C$75," ")</f>
        <v xml:space="preserve"> </v>
      </c>
      <c r="N45" s="4" t="str">
        <f>IF(A45&lt;('2. Inputs and results'!$C$23+1),M45/((1+$P$2)^A45)," ")</f>
        <v xml:space="preserve"> </v>
      </c>
      <c r="O45" s="4" t="str">
        <f>IF(A45&lt;('2. Inputs and results'!$C$23+1),'2. Inputs and results'!$C$75*'2. Inputs and results'!$C$77+O44," ")</f>
        <v xml:space="preserve"> </v>
      </c>
      <c r="P45" s="4" t="str">
        <f>IF(A45&lt;('2. Inputs and results'!$C$23+1),(G45+I45+H45+J45)/((1+$P$2)^A45)," ")</f>
        <v xml:space="preserve"> </v>
      </c>
      <c r="Q45" s="4" t="str">
        <f>IF(A45&lt;('2. Inputs and results'!$C$23+1),Q44+P45," ")</f>
        <v xml:space="preserve"> </v>
      </c>
      <c r="R45" s="4" t="e">
        <f>IF(A45&lt;('2. Inputs and results'!$C$23+1),R44+G45+I45+H45+J45+T45-$V$6,NA())</f>
        <v>#N/A</v>
      </c>
      <c r="S45" s="4" t="str">
        <f>IF(A45&lt;('2. Inputs and results'!$C$23+1),'2. Inputs and results'!$C$81*(R44)," ")</f>
        <v xml:space="preserve"> </v>
      </c>
      <c r="T45" s="4">
        <f t="shared" si="1"/>
        <v>0</v>
      </c>
      <c r="U45" s="4" t="e">
        <f>IF(A45&lt;('2. Inputs and results'!$C$23+1),U44+((G45+I45+H45+J45-$V$6+T45)/((1+$P$2)^A45)),NA())</f>
        <v>#N/A</v>
      </c>
      <c r="V45" s="4" t="str">
        <f>IF(A45&lt;('2. Inputs and results'!$C$23+1),V44+('2. Inputs and results'!$C$77*'2. Inputs and results'!$C$75)," ")</f>
        <v xml:space="preserve"> </v>
      </c>
      <c r="W45" s="4" t="e">
        <f>IF(A45&lt;('2. Inputs and results'!$C$23+1),W44+C45+Y45-$V$6,NA())</f>
        <v>#N/A</v>
      </c>
      <c r="X45" s="4" t="str">
        <f>IF(A45&lt;('2. Inputs and results'!$C$23+1),'2. Inputs and results'!$C$81*(W44)," ")</f>
        <v xml:space="preserve"> </v>
      </c>
      <c r="Y45" s="4">
        <f t="shared" si="2"/>
        <v>0</v>
      </c>
      <c r="Z45" s="4" t="e">
        <f>IF(A45&lt;('2. Inputs and results'!$C$23+1),Z44+((C45-$V$6+Y45)/((1+$P$2)^A45)),NA())</f>
        <v>#N/A</v>
      </c>
      <c r="AA45" s="4" t="str">
        <f>IF(A45&lt;('2. Inputs and results'!$C$23+1),AA44+G45+I45+H45+T45-$V$6," ")</f>
        <v xml:space="preserve"> </v>
      </c>
      <c r="AB45" s="11" t="e">
        <f>IF(A45&lt;('2. Inputs and results'!$C$23+1),AA45/L45,NA())</f>
        <v>#N/A</v>
      </c>
      <c r="AC45" s="12" t="str">
        <f>IF(A45&lt;('2. Inputs and results'!$C$23+1),AC44+C45+Y45-$V$6," ")</f>
        <v xml:space="preserve"> </v>
      </c>
      <c r="AD45" s="11" t="e">
        <f>IF(A45&lt;('2. Inputs and results'!$C$23+1),AC45/L45,NA())</f>
        <v>#N/A</v>
      </c>
      <c r="AE45" t="str">
        <f>IF(A45&lt;('2. Inputs and results'!$C$23+1),-'2. Inputs and results'!$C$124*A45," ")</f>
        <v xml:space="preserve"> </v>
      </c>
      <c r="AF45" t="e">
        <f>IF(A45&lt;('2. Inputs and results'!$C$23+1),AE45/1000,NA())</f>
        <v>#N/A</v>
      </c>
    </row>
    <row r="46" spans="1:32">
      <c r="A46">
        <f t="shared" si="0"/>
        <v>41</v>
      </c>
      <c r="B46" t="str">
        <f>IF(A46&lt;('2. Inputs and results'!$C$23+1),A46," ")</f>
        <v xml:space="preserve"> </v>
      </c>
      <c r="C46" s="4" t="str">
        <f>IF(A46&lt;('2. Inputs and results'!$C$23+1),'2. Inputs and results'!$C$101+'2. Inputs and results'!$C$103," ")</f>
        <v xml:space="preserve"> </v>
      </c>
      <c r="D46" s="4" t="e">
        <f>IF(A46&lt;('2. Inputs and results'!$C$23+1),D45+C46,NA())</f>
        <v>#N/A</v>
      </c>
      <c r="E46" s="4" t="str">
        <f>IF(A46&lt;('2. Inputs and results'!$C$23+1),C46/((1+$P$2)^A46)," ")</f>
        <v xml:space="preserve"> </v>
      </c>
      <c r="F46" s="4" t="str">
        <f>IF(B46&lt;('2. Inputs and results'!$C$23+1),F45+E46," ")</f>
        <v xml:space="preserve"> </v>
      </c>
      <c r="G46" s="4" t="str">
        <f>IF(A46&lt;('2. Inputs and results'!$C$23+1),G45*(1+'2. Inputs and results'!$C$46)," ")</f>
        <v xml:space="preserve"> </v>
      </c>
      <c r="H46" s="4" t="str">
        <f>IF(A46&lt;('2. Inputs and results'!$C$23+1),H45*(1+'2. Inputs and results'!$C$58)," ")</f>
        <v xml:space="preserve"> </v>
      </c>
      <c r="I46" s="4" t="str">
        <f>IF(A46&lt;('2. Inputs and results'!$C$23+1),I45*(1+'2. Inputs and results'!$C$34)," ")</f>
        <v xml:space="preserve"> </v>
      </c>
      <c r="J46" s="4" t="str">
        <f>IF(A46&lt;('2. Inputs and results'!$C$23+1),J45*(1+'2. Inputs and results'!$C$68)," ")</f>
        <v xml:space="preserve"> </v>
      </c>
      <c r="K46" s="4" t="e">
        <f>IF(A46&lt;('2. Inputs and results'!$C$23+1),K45+(G46+I46+H46+J46),NA())</f>
        <v>#N/A</v>
      </c>
      <c r="L46" s="4" t="e">
        <f>IF(A46&lt;('2. Inputs and results'!$C$23+1),L45,NA())</f>
        <v>#N/A</v>
      </c>
      <c r="M46" s="4" t="str">
        <f>IF(A46&lt;('2. Inputs and results'!$C$23+1),'2. Inputs and results'!$C$77*'2. Inputs and results'!$C$75," ")</f>
        <v xml:space="preserve"> </v>
      </c>
      <c r="N46" s="4" t="str">
        <f>IF(A46&lt;('2. Inputs and results'!$C$23+1),M46/((1+$P$2)^A46)," ")</f>
        <v xml:space="preserve"> </v>
      </c>
      <c r="O46" s="4" t="str">
        <f>IF(A46&lt;('2. Inputs and results'!$C$23+1),'2. Inputs and results'!$C$75*'2. Inputs and results'!$C$77+O45," ")</f>
        <v xml:space="preserve"> </v>
      </c>
      <c r="P46" s="4" t="str">
        <f>IF(A46&lt;('2. Inputs and results'!$C$23+1),(G46+I46+H46+J46)/((1+$P$2)^A46)," ")</f>
        <v xml:space="preserve"> </v>
      </c>
      <c r="Q46" s="4" t="str">
        <f>IF(A46&lt;('2. Inputs and results'!$C$23+1),Q45+P46," ")</f>
        <v xml:space="preserve"> </v>
      </c>
      <c r="R46" s="4" t="e">
        <f>IF(A46&lt;('2. Inputs and results'!$C$23+1),R45+G46+I46+H46+J46+T46-$V$6,NA())</f>
        <v>#N/A</v>
      </c>
      <c r="S46" s="4" t="str">
        <f>IF(A46&lt;('2. Inputs and results'!$C$23+1),'2. Inputs and results'!$C$81*(R45)," ")</f>
        <v xml:space="preserve"> </v>
      </c>
      <c r="T46" s="4">
        <f t="shared" si="1"/>
        <v>0</v>
      </c>
      <c r="U46" s="4" t="e">
        <f>IF(A46&lt;('2. Inputs and results'!$C$23+1),U45+((G46+I46+H46+J46-$V$6+T46)/((1+$P$2)^A46)),NA())</f>
        <v>#N/A</v>
      </c>
      <c r="V46" s="4" t="str">
        <f>IF(A46&lt;('2. Inputs and results'!$C$23+1),V45+('2. Inputs and results'!$C$77*'2. Inputs and results'!$C$75)," ")</f>
        <v xml:space="preserve"> </v>
      </c>
      <c r="W46" s="4" t="e">
        <f>IF(A46&lt;('2. Inputs and results'!$C$23+1),W45+C46+Y46-$V$6,NA())</f>
        <v>#N/A</v>
      </c>
      <c r="X46" s="4" t="str">
        <f>IF(A46&lt;('2. Inputs and results'!$C$23+1),'2. Inputs and results'!$C$81*(W45)," ")</f>
        <v xml:space="preserve"> </v>
      </c>
      <c r="Y46" s="4">
        <f t="shared" si="2"/>
        <v>0</v>
      </c>
      <c r="Z46" s="4" t="e">
        <f>IF(A46&lt;('2. Inputs and results'!$C$23+1),Z45+((C46-$V$6+Y46)/((1+$P$2)^A46)),NA())</f>
        <v>#N/A</v>
      </c>
      <c r="AA46" s="4" t="str">
        <f>IF(A46&lt;('2. Inputs and results'!$C$23+1),AA45+G46+I46+H46+T46-$V$6," ")</f>
        <v xml:space="preserve"> </v>
      </c>
      <c r="AB46" s="11" t="e">
        <f>IF(A46&lt;('2. Inputs and results'!$C$23+1),AA46/L46,NA())</f>
        <v>#N/A</v>
      </c>
      <c r="AC46" s="12" t="str">
        <f>IF(A46&lt;('2. Inputs and results'!$C$23+1),AC45+C46+Y46-$V$6," ")</f>
        <v xml:space="preserve"> </v>
      </c>
      <c r="AD46" s="11" t="e">
        <f>IF(A46&lt;('2. Inputs and results'!$C$23+1),AC46/L46,NA())</f>
        <v>#N/A</v>
      </c>
      <c r="AE46" t="str">
        <f>IF(A46&lt;('2. Inputs and results'!$C$23+1),-'2. Inputs and results'!$C$124*A46," ")</f>
        <v xml:space="preserve"> </v>
      </c>
      <c r="AF46" t="e">
        <f>IF(A46&lt;('2. Inputs and results'!$C$23+1),AE46/1000,NA())</f>
        <v>#N/A</v>
      </c>
    </row>
    <row r="47" spans="1:32">
      <c r="A47">
        <f t="shared" si="0"/>
        <v>42</v>
      </c>
      <c r="B47" t="str">
        <f>IF(A47&lt;('2. Inputs and results'!$C$23+1),A47," ")</f>
        <v xml:space="preserve"> </v>
      </c>
      <c r="C47" s="4" t="str">
        <f>IF(A47&lt;('2. Inputs and results'!$C$23+1),'2. Inputs and results'!$C$101+'2. Inputs and results'!$C$103," ")</f>
        <v xml:space="preserve"> </v>
      </c>
      <c r="D47" s="4" t="e">
        <f>IF(A47&lt;('2. Inputs and results'!$C$23+1),D46+C47,NA())</f>
        <v>#N/A</v>
      </c>
      <c r="E47" s="4" t="str">
        <f>IF(A47&lt;('2. Inputs and results'!$C$23+1),C47/((1+$P$2)^A47)," ")</f>
        <v xml:space="preserve"> </v>
      </c>
      <c r="F47" s="4" t="str">
        <f>IF(B47&lt;('2. Inputs and results'!$C$23+1),F46+E47," ")</f>
        <v xml:space="preserve"> </v>
      </c>
      <c r="G47" s="4" t="str">
        <f>IF(A47&lt;('2. Inputs and results'!$C$23+1),G46*(1+'2. Inputs and results'!$C$46)," ")</f>
        <v xml:space="preserve"> </v>
      </c>
      <c r="H47" s="4" t="str">
        <f>IF(A47&lt;('2. Inputs and results'!$C$23+1),H46*(1+'2. Inputs and results'!$C$58)," ")</f>
        <v xml:space="preserve"> </v>
      </c>
      <c r="I47" s="4" t="str">
        <f>IF(A47&lt;('2. Inputs and results'!$C$23+1),I46*(1+'2. Inputs and results'!$C$34)," ")</f>
        <v xml:space="preserve"> </v>
      </c>
      <c r="J47" s="4" t="str">
        <f>IF(A47&lt;('2. Inputs and results'!$C$23+1),J46*(1+'2. Inputs and results'!$C$68)," ")</f>
        <v xml:space="preserve"> </v>
      </c>
      <c r="K47" s="4" t="e">
        <f>IF(A47&lt;('2. Inputs and results'!$C$23+1),K46+(G47+I47+H47+J47),NA())</f>
        <v>#N/A</v>
      </c>
      <c r="L47" s="4" t="e">
        <f>IF(A47&lt;('2. Inputs and results'!$C$23+1),L46,NA())</f>
        <v>#N/A</v>
      </c>
      <c r="M47" s="4" t="str">
        <f>IF(A47&lt;('2. Inputs and results'!$C$23+1),'2. Inputs and results'!$C$77*'2. Inputs and results'!$C$75," ")</f>
        <v xml:space="preserve"> </v>
      </c>
      <c r="N47" s="4" t="str">
        <f>IF(A47&lt;('2. Inputs and results'!$C$23+1),M47/((1+$P$2)^A47)," ")</f>
        <v xml:space="preserve"> </v>
      </c>
      <c r="O47" s="4" t="str">
        <f>IF(A47&lt;('2. Inputs and results'!$C$23+1),'2. Inputs and results'!$C$75*'2. Inputs and results'!$C$77+O46," ")</f>
        <v xml:space="preserve"> </v>
      </c>
      <c r="P47" s="4" t="str">
        <f>IF(A47&lt;('2. Inputs and results'!$C$23+1),(G47+I47+H47+J47)/((1+$P$2)^A47)," ")</f>
        <v xml:space="preserve"> </v>
      </c>
      <c r="Q47" s="4" t="str">
        <f>IF(A47&lt;('2. Inputs and results'!$C$23+1),Q46+P47," ")</f>
        <v xml:space="preserve"> </v>
      </c>
      <c r="R47" s="4" t="e">
        <f>IF(A47&lt;('2. Inputs and results'!$C$23+1),R46+G47+I47+H47+J47+T47-$V$6,NA())</f>
        <v>#N/A</v>
      </c>
      <c r="S47" s="4" t="str">
        <f>IF(A47&lt;('2. Inputs and results'!$C$23+1),'2. Inputs and results'!$C$81*(R46)," ")</f>
        <v xml:space="preserve"> </v>
      </c>
      <c r="T47" s="4">
        <f t="shared" si="1"/>
        <v>0</v>
      </c>
      <c r="U47" s="4" t="e">
        <f>IF(A47&lt;('2. Inputs and results'!$C$23+1),U46+((G47+I47+H47+J47-$V$6+T47)/((1+$P$2)^A47)),NA())</f>
        <v>#N/A</v>
      </c>
      <c r="V47" s="4" t="str">
        <f>IF(A47&lt;('2. Inputs and results'!$C$23+1),V46+('2. Inputs and results'!$C$77*'2. Inputs and results'!$C$75)," ")</f>
        <v xml:space="preserve"> </v>
      </c>
      <c r="W47" s="4" t="e">
        <f>IF(A47&lt;('2. Inputs and results'!$C$23+1),W46+C47+Y47-$V$6,NA())</f>
        <v>#N/A</v>
      </c>
      <c r="X47" s="4" t="str">
        <f>IF(A47&lt;('2. Inputs and results'!$C$23+1),'2. Inputs and results'!$C$81*(W46)," ")</f>
        <v xml:space="preserve"> </v>
      </c>
      <c r="Y47" s="4">
        <f t="shared" si="2"/>
        <v>0</v>
      </c>
      <c r="Z47" s="4" t="e">
        <f>IF(A47&lt;('2. Inputs and results'!$C$23+1),Z46+((C47-$V$6+Y47)/((1+$P$2)^A47)),NA())</f>
        <v>#N/A</v>
      </c>
      <c r="AA47" s="4" t="str">
        <f>IF(A47&lt;('2. Inputs and results'!$C$23+1),AA46+G47+I47+H47+T47-$V$6," ")</f>
        <v xml:space="preserve"> </v>
      </c>
      <c r="AB47" s="11" t="e">
        <f>IF(A47&lt;('2. Inputs and results'!$C$23+1),AA47/L47,NA())</f>
        <v>#N/A</v>
      </c>
      <c r="AC47" s="12" t="str">
        <f>IF(A47&lt;('2. Inputs and results'!$C$23+1),AC46+C47+Y47-$V$6," ")</f>
        <v xml:space="preserve"> </v>
      </c>
      <c r="AD47" s="11" t="e">
        <f>IF(A47&lt;('2. Inputs and results'!$C$23+1),AC47/L47,NA())</f>
        <v>#N/A</v>
      </c>
      <c r="AE47" t="str">
        <f>IF(A47&lt;('2. Inputs and results'!$C$23+1),-'2. Inputs and results'!$C$124*A47," ")</f>
        <v xml:space="preserve"> </v>
      </c>
      <c r="AF47" t="e">
        <f>IF(A47&lt;('2. Inputs and results'!$C$23+1),AE47/1000,NA())</f>
        <v>#N/A</v>
      </c>
    </row>
    <row r="48" spans="1:32">
      <c r="A48">
        <f t="shared" si="0"/>
        <v>43</v>
      </c>
      <c r="B48" t="str">
        <f>IF(A48&lt;('2. Inputs and results'!$C$23+1),A48," ")</f>
        <v xml:space="preserve"> </v>
      </c>
      <c r="C48" s="4" t="str">
        <f>IF(A48&lt;('2. Inputs and results'!$C$23+1),'2. Inputs and results'!$C$101+'2. Inputs and results'!$C$103," ")</f>
        <v xml:space="preserve"> </v>
      </c>
      <c r="D48" s="4" t="e">
        <f>IF(A48&lt;('2. Inputs and results'!$C$23+1),D47+C48,NA())</f>
        <v>#N/A</v>
      </c>
      <c r="E48" s="4" t="str">
        <f>IF(A48&lt;('2. Inputs and results'!$C$23+1),C48/((1+$P$2)^A48)," ")</f>
        <v xml:space="preserve"> </v>
      </c>
      <c r="F48" s="4" t="str">
        <f>IF(B48&lt;('2. Inputs and results'!$C$23+1),F47+E48," ")</f>
        <v xml:space="preserve"> </v>
      </c>
      <c r="G48" s="4" t="str">
        <f>IF(A48&lt;('2. Inputs and results'!$C$23+1),G47*(1+'2. Inputs and results'!$C$46)," ")</f>
        <v xml:space="preserve"> </v>
      </c>
      <c r="H48" s="4" t="str">
        <f>IF(A48&lt;('2. Inputs and results'!$C$23+1),H47*(1+'2. Inputs and results'!$C$58)," ")</f>
        <v xml:space="preserve"> </v>
      </c>
      <c r="I48" s="4" t="str">
        <f>IF(A48&lt;('2. Inputs and results'!$C$23+1),I47*(1+'2. Inputs and results'!$C$34)," ")</f>
        <v xml:space="preserve"> </v>
      </c>
      <c r="J48" s="4" t="str">
        <f>IF(A48&lt;('2. Inputs and results'!$C$23+1),J47*(1+'2. Inputs and results'!$C$68)," ")</f>
        <v xml:space="preserve"> </v>
      </c>
      <c r="K48" s="4" t="e">
        <f>IF(A48&lt;('2. Inputs and results'!$C$23+1),K47+(G48+I48+H48+J48),NA())</f>
        <v>#N/A</v>
      </c>
      <c r="L48" s="4" t="e">
        <f>IF(A48&lt;('2. Inputs and results'!$C$23+1),L47,NA())</f>
        <v>#N/A</v>
      </c>
      <c r="M48" s="4" t="str">
        <f>IF(A48&lt;('2. Inputs and results'!$C$23+1),'2. Inputs and results'!$C$77*'2. Inputs and results'!$C$75," ")</f>
        <v xml:space="preserve"> </v>
      </c>
      <c r="N48" s="4" t="str">
        <f>IF(A48&lt;('2. Inputs and results'!$C$23+1),M48/((1+$P$2)^A48)," ")</f>
        <v xml:space="preserve"> </v>
      </c>
      <c r="O48" s="4" t="str">
        <f>IF(A48&lt;('2. Inputs and results'!$C$23+1),'2. Inputs and results'!$C$75*'2. Inputs and results'!$C$77+O47," ")</f>
        <v xml:space="preserve"> </v>
      </c>
      <c r="P48" s="4" t="str">
        <f>IF(A48&lt;('2. Inputs and results'!$C$23+1),(G48+I48+H48+J48)/((1+$P$2)^A48)," ")</f>
        <v xml:space="preserve"> </v>
      </c>
      <c r="Q48" s="4" t="str">
        <f>IF(A48&lt;('2. Inputs and results'!$C$23+1),Q47+P48," ")</f>
        <v xml:space="preserve"> </v>
      </c>
      <c r="R48" s="4" t="e">
        <f>IF(A48&lt;('2. Inputs and results'!$C$23+1),R47+G48+I48+H48+J48+T48-$V$6,NA())</f>
        <v>#N/A</v>
      </c>
      <c r="S48" s="4" t="str">
        <f>IF(A48&lt;('2. Inputs and results'!$C$23+1),'2. Inputs and results'!$C$81*(R47)," ")</f>
        <v xml:space="preserve"> </v>
      </c>
      <c r="T48" s="4">
        <f t="shared" si="1"/>
        <v>0</v>
      </c>
      <c r="U48" s="4" t="e">
        <f>IF(A48&lt;('2. Inputs and results'!$C$23+1),U47+((G48+I48+H48+J48-$V$6+T48)/((1+$P$2)^A48)),NA())</f>
        <v>#N/A</v>
      </c>
      <c r="V48" s="4" t="str">
        <f>IF(A48&lt;('2. Inputs and results'!$C$23+1),V47+('2. Inputs and results'!$C$77*'2. Inputs and results'!$C$75)," ")</f>
        <v xml:space="preserve"> </v>
      </c>
      <c r="W48" s="4" t="e">
        <f>IF(A48&lt;('2. Inputs and results'!$C$23+1),W47+C48+Y48-$V$6,NA())</f>
        <v>#N/A</v>
      </c>
      <c r="X48" s="4" t="str">
        <f>IF(A48&lt;('2. Inputs and results'!$C$23+1),'2. Inputs and results'!$C$81*(W47)," ")</f>
        <v xml:space="preserve"> </v>
      </c>
      <c r="Y48" s="4">
        <f t="shared" si="2"/>
        <v>0</v>
      </c>
      <c r="Z48" s="4" t="e">
        <f>IF(A48&lt;('2. Inputs and results'!$C$23+1),Z47+((C48-$V$6+Y48)/((1+$P$2)^A48)),NA())</f>
        <v>#N/A</v>
      </c>
      <c r="AA48" s="4" t="str">
        <f>IF(A48&lt;('2. Inputs and results'!$C$23+1),AA47+G48+I48+H48+T48-$V$6," ")</f>
        <v xml:space="preserve"> </v>
      </c>
      <c r="AB48" s="11" t="e">
        <f>IF(A48&lt;('2. Inputs and results'!$C$23+1),AA48/L48,NA())</f>
        <v>#N/A</v>
      </c>
      <c r="AC48" s="12" t="str">
        <f>IF(A48&lt;('2. Inputs and results'!$C$23+1),AC47+C48+Y48-$V$6," ")</f>
        <v xml:space="preserve"> </v>
      </c>
      <c r="AD48" s="11" t="e">
        <f>IF(A48&lt;('2. Inputs and results'!$C$23+1),AC48/L48,NA())</f>
        <v>#N/A</v>
      </c>
      <c r="AE48" t="str">
        <f>IF(A48&lt;('2. Inputs and results'!$C$23+1),-'2. Inputs and results'!$C$124*A48," ")</f>
        <v xml:space="preserve"> </v>
      </c>
      <c r="AF48" t="e">
        <f>IF(A48&lt;('2. Inputs and results'!$C$23+1),AE48/1000,NA())</f>
        <v>#N/A</v>
      </c>
    </row>
    <row r="49" spans="1:32">
      <c r="A49">
        <f t="shared" si="0"/>
        <v>44</v>
      </c>
      <c r="B49" t="str">
        <f>IF(A49&lt;('2. Inputs and results'!$C$23+1),A49," ")</f>
        <v xml:space="preserve"> </v>
      </c>
      <c r="C49" s="4" t="str">
        <f>IF(A49&lt;('2. Inputs and results'!$C$23+1),'2. Inputs and results'!$C$101+'2. Inputs and results'!$C$103," ")</f>
        <v xml:space="preserve"> </v>
      </c>
      <c r="D49" s="4" t="e">
        <f>IF(A49&lt;('2. Inputs and results'!$C$23+1),D48+C49,NA())</f>
        <v>#N/A</v>
      </c>
      <c r="E49" s="4" t="str">
        <f>IF(A49&lt;('2. Inputs and results'!$C$23+1),C49/((1+$P$2)^A49)," ")</f>
        <v xml:space="preserve"> </v>
      </c>
      <c r="F49" s="4" t="str">
        <f>IF(B49&lt;('2. Inputs and results'!$C$23+1),F48+E49," ")</f>
        <v xml:space="preserve"> </v>
      </c>
      <c r="G49" s="4" t="str">
        <f>IF(A49&lt;('2. Inputs and results'!$C$23+1),G48*(1+'2. Inputs and results'!$C$46)," ")</f>
        <v xml:space="preserve"> </v>
      </c>
      <c r="H49" s="4" t="str">
        <f>IF(A49&lt;('2. Inputs and results'!$C$23+1),H48*(1+'2. Inputs and results'!$C$58)," ")</f>
        <v xml:space="preserve"> </v>
      </c>
      <c r="I49" s="4" t="str">
        <f>IF(A49&lt;('2. Inputs and results'!$C$23+1),I48*(1+'2. Inputs and results'!$C$34)," ")</f>
        <v xml:space="preserve"> </v>
      </c>
      <c r="J49" s="4" t="str">
        <f>IF(A49&lt;('2. Inputs and results'!$C$23+1),J48*(1+'2. Inputs and results'!$C$68)," ")</f>
        <v xml:space="preserve"> </v>
      </c>
      <c r="K49" s="4" t="e">
        <f>IF(A49&lt;('2. Inputs and results'!$C$23+1),K48+(G49+I49+H49+J49),NA())</f>
        <v>#N/A</v>
      </c>
      <c r="L49" s="4" t="e">
        <f>IF(A49&lt;('2. Inputs and results'!$C$23+1),L48,NA())</f>
        <v>#N/A</v>
      </c>
      <c r="M49" s="4" t="str">
        <f>IF(A49&lt;('2. Inputs and results'!$C$23+1),'2. Inputs and results'!$C$77*'2. Inputs and results'!$C$75," ")</f>
        <v xml:space="preserve"> </v>
      </c>
      <c r="N49" s="4" t="str">
        <f>IF(A49&lt;('2. Inputs and results'!$C$23+1),M49/((1+$P$2)^A49)," ")</f>
        <v xml:space="preserve"> </v>
      </c>
      <c r="O49" s="4" t="str">
        <f>IF(A49&lt;('2. Inputs and results'!$C$23+1),'2. Inputs and results'!$C$75*'2. Inputs and results'!$C$77+O48," ")</f>
        <v xml:space="preserve"> </v>
      </c>
      <c r="P49" s="4" t="str">
        <f>IF(A49&lt;('2. Inputs and results'!$C$23+1),(G49+I49+H49+J49)/((1+$P$2)^A49)," ")</f>
        <v xml:space="preserve"> </v>
      </c>
      <c r="Q49" s="4" t="str">
        <f>IF(A49&lt;('2. Inputs and results'!$C$23+1),Q48+P49," ")</f>
        <v xml:space="preserve"> </v>
      </c>
      <c r="R49" s="4" t="e">
        <f>IF(A49&lt;('2. Inputs and results'!$C$23+1),R48+G49+I49+H49+J49+T49-$V$6,NA())</f>
        <v>#N/A</v>
      </c>
      <c r="S49" s="4" t="str">
        <f>IF(A49&lt;('2. Inputs and results'!$C$23+1),'2. Inputs and results'!$C$81*(R48)," ")</f>
        <v xml:space="preserve"> </v>
      </c>
      <c r="T49" s="4">
        <f t="shared" si="1"/>
        <v>0</v>
      </c>
      <c r="U49" s="4" t="e">
        <f>IF(A49&lt;('2. Inputs and results'!$C$23+1),U48+((G49+I49+H49+J49-$V$6+T49)/((1+$P$2)^A49)),NA())</f>
        <v>#N/A</v>
      </c>
      <c r="V49" s="4" t="str">
        <f>IF(A49&lt;('2. Inputs and results'!$C$23+1),V48+('2. Inputs and results'!$C$77*'2. Inputs and results'!$C$75)," ")</f>
        <v xml:space="preserve"> </v>
      </c>
      <c r="W49" s="4" t="e">
        <f>IF(A49&lt;('2. Inputs and results'!$C$23+1),W48+C49+Y49-$V$6,NA())</f>
        <v>#N/A</v>
      </c>
      <c r="X49" s="4" t="str">
        <f>IF(A49&lt;('2. Inputs and results'!$C$23+1),'2. Inputs and results'!$C$81*(W48)," ")</f>
        <v xml:space="preserve"> </v>
      </c>
      <c r="Y49" s="4">
        <f t="shared" si="2"/>
        <v>0</v>
      </c>
      <c r="Z49" s="4" t="e">
        <f>IF(A49&lt;('2. Inputs and results'!$C$23+1),Z48+((C49-$V$6+Y49)/((1+$P$2)^A49)),NA())</f>
        <v>#N/A</v>
      </c>
      <c r="AA49" s="4" t="str">
        <f>IF(A49&lt;('2. Inputs and results'!$C$23+1),AA48+G49+I49+H49+T49-$V$6," ")</f>
        <v xml:space="preserve"> </v>
      </c>
      <c r="AB49" s="11" t="e">
        <f>IF(A49&lt;('2. Inputs and results'!$C$23+1),AA49/L49,NA())</f>
        <v>#N/A</v>
      </c>
      <c r="AC49" s="12" t="str">
        <f>IF(A49&lt;('2. Inputs and results'!$C$23+1),AC48+C49+Y49-$V$6," ")</f>
        <v xml:space="preserve"> </v>
      </c>
      <c r="AD49" s="11" t="e">
        <f>IF(A49&lt;('2. Inputs and results'!$C$23+1),AC49/L49,NA())</f>
        <v>#N/A</v>
      </c>
      <c r="AE49" t="str">
        <f>IF(A49&lt;('2. Inputs and results'!$C$23+1),-'2. Inputs and results'!$C$124*A49," ")</f>
        <v xml:space="preserve"> </v>
      </c>
      <c r="AF49" t="e">
        <f>IF(A49&lt;('2. Inputs and results'!$C$23+1),AE49/1000,NA())</f>
        <v>#N/A</v>
      </c>
    </row>
    <row r="50" spans="1:32">
      <c r="A50">
        <f t="shared" si="0"/>
        <v>45</v>
      </c>
      <c r="B50" t="str">
        <f>IF(A50&lt;('2. Inputs and results'!$C$23+1),A50," ")</f>
        <v xml:space="preserve"> </v>
      </c>
      <c r="C50" s="4" t="str">
        <f>IF(A50&lt;('2. Inputs and results'!$C$23+1),'2. Inputs and results'!$C$101+'2. Inputs and results'!$C$103," ")</f>
        <v xml:space="preserve"> </v>
      </c>
      <c r="D50" s="4" t="e">
        <f>IF(A50&lt;('2. Inputs and results'!$C$23+1),D49+C50,NA())</f>
        <v>#N/A</v>
      </c>
      <c r="E50" s="4" t="str">
        <f>IF(A50&lt;('2. Inputs and results'!$C$23+1),C50/((1+$P$2)^A50)," ")</f>
        <v xml:space="preserve"> </v>
      </c>
      <c r="F50" s="4" t="str">
        <f>IF(B50&lt;('2. Inputs and results'!$C$23+1),F49+E50," ")</f>
        <v xml:space="preserve"> </v>
      </c>
      <c r="G50" s="4" t="str">
        <f>IF(A50&lt;('2. Inputs and results'!$C$23+1),G49*(1+'2. Inputs and results'!$C$46)," ")</f>
        <v xml:space="preserve"> </v>
      </c>
      <c r="H50" s="4" t="str">
        <f>IF(A50&lt;('2. Inputs and results'!$C$23+1),H49*(1+'2. Inputs and results'!$C$58)," ")</f>
        <v xml:space="preserve"> </v>
      </c>
      <c r="I50" s="4" t="str">
        <f>IF(A50&lt;('2. Inputs and results'!$C$23+1),I49*(1+'2. Inputs and results'!$C$34)," ")</f>
        <v xml:space="preserve"> </v>
      </c>
      <c r="J50" s="4" t="str">
        <f>IF(A50&lt;('2. Inputs and results'!$C$23+1),J49*(1+'2. Inputs and results'!$C$68)," ")</f>
        <v xml:space="preserve"> </v>
      </c>
      <c r="K50" s="4" t="e">
        <f>IF(A50&lt;('2. Inputs and results'!$C$23+1),K49+(G50+I50+H50+J50),NA())</f>
        <v>#N/A</v>
      </c>
      <c r="L50" s="4" t="e">
        <f>IF(A50&lt;('2. Inputs and results'!$C$23+1),L49,NA())</f>
        <v>#N/A</v>
      </c>
      <c r="M50" s="4" t="str">
        <f>IF(A50&lt;('2. Inputs and results'!$C$23+1),'2. Inputs and results'!$C$77*'2. Inputs and results'!$C$75," ")</f>
        <v xml:space="preserve"> </v>
      </c>
      <c r="N50" s="4" t="str">
        <f>IF(A50&lt;('2. Inputs and results'!$C$23+1),M50/((1+$P$2)^A50)," ")</f>
        <v xml:space="preserve"> </v>
      </c>
      <c r="O50" s="4" t="str">
        <f>IF(A50&lt;('2. Inputs and results'!$C$23+1),'2. Inputs and results'!$C$75*'2. Inputs and results'!$C$77+O49," ")</f>
        <v xml:space="preserve"> </v>
      </c>
      <c r="P50" s="4" t="str">
        <f>IF(A50&lt;('2. Inputs and results'!$C$23+1),(G50+I50+H50+J50)/((1+$P$2)^A50)," ")</f>
        <v xml:space="preserve"> </v>
      </c>
      <c r="Q50" s="4" t="str">
        <f>IF(A50&lt;('2. Inputs and results'!$C$23+1),Q49+P50," ")</f>
        <v xml:space="preserve"> </v>
      </c>
      <c r="R50" s="4" t="e">
        <f>IF(A50&lt;('2. Inputs and results'!$C$23+1),R49+G50+I50+H50+J50+T50-$V$6,NA())</f>
        <v>#N/A</v>
      </c>
      <c r="S50" s="4" t="str">
        <f>IF(A50&lt;('2. Inputs and results'!$C$23+1),'2. Inputs and results'!$C$81*(R49)," ")</f>
        <v xml:space="preserve"> </v>
      </c>
      <c r="T50" s="4">
        <f t="shared" si="1"/>
        <v>0</v>
      </c>
      <c r="U50" s="4" t="e">
        <f>IF(A50&lt;('2. Inputs and results'!$C$23+1),U49+((G50+I50+H50+J50-$V$6+T50)/((1+$P$2)^A50)),NA())</f>
        <v>#N/A</v>
      </c>
      <c r="V50" s="4" t="str">
        <f>IF(A50&lt;('2. Inputs and results'!$C$23+1),V49+('2. Inputs and results'!$C$77*'2. Inputs and results'!$C$75)," ")</f>
        <v xml:space="preserve"> </v>
      </c>
      <c r="W50" s="4" t="e">
        <f>IF(A50&lt;('2. Inputs and results'!$C$23+1),W49+C50+Y50-$V$6,NA())</f>
        <v>#N/A</v>
      </c>
      <c r="X50" s="4" t="str">
        <f>IF(A50&lt;('2. Inputs and results'!$C$23+1),'2. Inputs and results'!$C$81*(W49)," ")</f>
        <v xml:space="preserve"> </v>
      </c>
      <c r="Y50" s="4">
        <f t="shared" si="2"/>
        <v>0</v>
      </c>
      <c r="Z50" s="4" t="e">
        <f>IF(A50&lt;('2. Inputs and results'!$C$23+1),Z49+((C50-$V$6+Y50)/((1+$P$2)^A50)),NA())</f>
        <v>#N/A</v>
      </c>
      <c r="AA50" s="4" t="str">
        <f>IF(A50&lt;('2. Inputs and results'!$C$23+1),AA49+G50+I50+H50+T50-$V$6," ")</f>
        <v xml:space="preserve"> </v>
      </c>
      <c r="AB50" s="11" t="e">
        <f>IF(A50&lt;('2. Inputs and results'!$C$23+1),AA50/L50,NA())</f>
        <v>#N/A</v>
      </c>
      <c r="AC50" s="12" t="str">
        <f>IF(A50&lt;('2. Inputs and results'!$C$23+1),AC49+C50+Y50-$V$6," ")</f>
        <v xml:space="preserve"> </v>
      </c>
      <c r="AD50" s="11" t="e">
        <f>IF(A50&lt;('2. Inputs and results'!$C$23+1),AC50/L50,NA())</f>
        <v>#N/A</v>
      </c>
      <c r="AE50" t="str">
        <f>IF(A50&lt;('2. Inputs and results'!$C$23+1),-'2. Inputs and results'!$C$124*A50," ")</f>
        <v xml:space="preserve"> </v>
      </c>
      <c r="AF50" t="e">
        <f>IF(A50&lt;('2. Inputs and results'!$C$23+1),AE50/1000,NA())</f>
        <v>#N/A</v>
      </c>
    </row>
    <row r="51" spans="1:32">
      <c r="A51">
        <f t="shared" si="0"/>
        <v>46</v>
      </c>
      <c r="B51" t="str">
        <f>IF(A51&lt;('2. Inputs and results'!$C$23+1),A51," ")</f>
        <v xml:space="preserve"> </v>
      </c>
      <c r="C51" s="4" t="str">
        <f>IF(A51&lt;('2. Inputs and results'!$C$23+1),'2. Inputs and results'!$C$101+'2. Inputs and results'!$C$103," ")</f>
        <v xml:space="preserve"> </v>
      </c>
      <c r="D51" s="4" t="e">
        <f>IF(A51&lt;('2. Inputs and results'!$C$23+1),D50+C51,NA())</f>
        <v>#N/A</v>
      </c>
      <c r="E51" s="4" t="str">
        <f>IF(A51&lt;('2. Inputs and results'!$C$23+1),C51/((1+$P$2)^A51)," ")</f>
        <v xml:space="preserve"> </v>
      </c>
      <c r="F51" s="4" t="str">
        <f>IF(B51&lt;('2. Inputs and results'!$C$23+1),F50+E51," ")</f>
        <v xml:space="preserve"> </v>
      </c>
      <c r="G51" s="4" t="str">
        <f>IF(A51&lt;('2. Inputs and results'!$C$23+1),G50*(1+'2. Inputs and results'!$C$46)," ")</f>
        <v xml:space="preserve"> </v>
      </c>
      <c r="H51" s="4" t="str">
        <f>IF(A51&lt;('2. Inputs and results'!$C$23+1),H50*(1+'2. Inputs and results'!$C$58)," ")</f>
        <v xml:space="preserve"> </v>
      </c>
      <c r="I51" s="4" t="str">
        <f>IF(A51&lt;('2. Inputs and results'!$C$23+1),I50*(1+'2. Inputs and results'!$C$34)," ")</f>
        <v xml:space="preserve"> </v>
      </c>
      <c r="J51" s="4" t="str">
        <f>IF(A51&lt;('2. Inputs and results'!$C$23+1),J50*(1+'2. Inputs and results'!$C$68)," ")</f>
        <v xml:space="preserve"> </v>
      </c>
      <c r="K51" s="4" t="e">
        <f>IF(A51&lt;('2. Inputs and results'!$C$23+1),K50+(G51+I51+H51+J51),NA())</f>
        <v>#N/A</v>
      </c>
      <c r="L51" s="4" t="e">
        <f>IF(A51&lt;('2. Inputs and results'!$C$23+1),L50,NA())</f>
        <v>#N/A</v>
      </c>
      <c r="M51" s="4" t="str">
        <f>IF(A51&lt;('2. Inputs and results'!$C$23+1),'2. Inputs and results'!$C$77*'2. Inputs and results'!$C$75," ")</f>
        <v xml:space="preserve"> </v>
      </c>
      <c r="N51" s="4" t="str">
        <f>IF(A51&lt;('2. Inputs and results'!$C$23+1),M51/((1+$P$2)^A51)," ")</f>
        <v xml:space="preserve"> </v>
      </c>
      <c r="O51" s="4" t="str">
        <f>IF(A51&lt;('2. Inputs and results'!$C$23+1),'2. Inputs and results'!$C$75*'2. Inputs and results'!$C$77+O50," ")</f>
        <v xml:space="preserve"> </v>
      </c>
      <c r="P51" s="4" t="str">
        <f>IF(A51&lt;('2. Inputs and results'!$C$23+1),(G51+I51+H51+J51)/((1+$P$2)^A51)," ")</f>
        <v xml:space="preserve"> </v>
      </c>
      <c r="Q51" s="4" t="str">
        <f>IF(A51&lt;('2. Inputs and results'!$C$23+1),Q50+P51," ")</f>
        <v xml:space="preserve"> </v>
      </c>
      <c r="R51" s="4" t="e">
        <f>IF(A51&lt;('2. Inputs and results'!$C$23+1),R50+G51+I51+H51+J51+T51-$V$6,NA())</f>
        <v>#N/A</v>
      </c>
      <c r="S51" s="4" t="str">
        <f>IF(A51&lt;('2. Inputs and results'!$C$23+1),'2. Inputs and results'!$C$81*(R50)," ")</f>
        <v xml:space="preserve"> </v>
      </c>
      <c r="T51" s="4">
        <f t="shared" si="1"/>
        <v>0</v>
      </c>
      <c r="U51" s="4" t="e">
        <f>IF(A51&lt;('2. Inputs and results'!$C$23+1),U50+((G51+I51+H51+J51-$V$6+T51)/((1+$P$2)^A51)),NA())</f>
        <v>#N/A</v>
      </c>
      <c r="V51" s="4" t="str">
        <f>IF(A51&lt;('2. Inputs and results'!$C$23+1),V50+('2. Inputs and results'!$C$77*'2. Inputs and results'!$C$75)," ")</f>
        <v xml:space="preserve"> </v>
      </c>
      <c r="W51" s="4" t="e">
        <f>IF(A51&lt;('2. Inputs and results'!$C$23+1),W50+C51+Y51-$V$6,NA())</f>
        <v>#N/A</v>
      </c>
      <c r="X51" s="4" t="str">
        <f>IF(A51&lt;('2. Inputs and results'!$C$23+1),'2. Inputs and results'!$C$81*(W50)," ")</f>
        <v xml:space="preserve"> </v>
      </c>
      <c r="Y51" s="4">
        <f t="shared" si="2"/>
        <v>0</v>
      </c>
      <c r="Z51" s="4" t="e">
        <f>IF(A51&lt;('2. Inputs and results'!$C$23+1),Z50+((C51-$V$6+Y51)/((1+$P$2)^A51)),NA())</f>
        <v>#N/A</v>
      </c>
      <c r="AA51" s="4" t="str">
        <f>IF(A51&lt;('2. Inputs and results'!$C$23+1),AA50+G51+I51+H51+T51-$V$6," ")</f>
        <v xml:space="preserve"> </v>
      </c>
      <c r="AB51" s="11" t="e">
        <f>IF(A51&lt;('2. Inputs and results'!$C$23+1),AA51/L51,NA())</f>
        <v>#N/A</v>
      </c>
      <c r="AC51" s="12" t="str">
        <f>IF(A51&lt;('2. Inputs and results'!$C$23+1),AC50+C51+Y51-$V$6," ")</f>
        <v xml:space="preserve"> </v>
      </c>
      <c r="AD51" s="11" t="e">
        <f>IF(A51&lt;('2. Inputs and results'!$C$23+1),AC51/L51,NA())</f>
        <v>#N/A</v>
      </c>
      <c r="AE51" t="str">
        <f>IF(A51&lt;('2. Inputs and results'!$C$23+1),-'2. Inputs and results'!$C$124*A51," ")</f>
        <v xml:space="preserve"> </v>
      </c>
      <c r="AF51" t="e">
        <f>IF(A51&lt;('2. Inputs and results'!$C$23+1),AE51/1000,NA())</f>
        <v>#N/A</v>
      </c>
    </row>
    <row r="52" spans="1:32">
      <c r="A52">
        <f t="shared" si="0"/>
        <v>47</v>
      </c>
      <c r="B52" t="str">
        <f>IF(A52&lt;('2. Inputs and results'!$C$23+1),A52," ")</f>
        <v xml:space="preserve"> </v>
      </c>
      <c r="C52" s="4" t="str">
        <f>IF(A52&lt;('2. Inputs and results'!$C$23+1),'2. Inputs and results'!$C$101+'2. Inputs and results'!$C$103," ")</f>
        <v xml:space="preserve"> </v>
      </c>
      <c r="D52" s="4" t="e">
        <f>IF(A52&lt;('2. Inputs and results'!$C$23+1),D51+C52,NA())</f>
        <v>#N/A</v>
      </c>
      <c r="E52" s="4" t="str">
        <f>IF(A52&lt;('2. Inputs and results'!$C$23+1),C52/((1+$P$2)^A52)," ")</f>
        <v xml:space="preserve"> </v>
      </c>
      <c r="F52" s="4" t="str">
        <f>IF(B52&lt;('2. Inputs and results'!$C$23+1),F51+E52," ")</f>
        <v xml:space="preserve"> </v>
      </c>
      <c r="G52" s="4" t="str">
        <f>IF(A52&lt;('2. Inputs and results'!$C$23+1),G51*(1+'2. Inputs and results'!$C$46)," ")</f>
        <v xml:space="preserve"> </v>
      </c>
      <c r="H52" s="4" t="str">
        <f>IF(A52&lt;('2. Inputs and results'!$C$23+1),H51*(1+'2. Inputs and results'!$C$58)," ")</f>
        <v xml:space="preserve"> </v>
      </c>
      <c r="I52" s="4" t="str">
        <f>IF(A52&lt;('2. Inputs and results'!$C$23+1),I51*(1+'2. Inputs and results'!$C$34)," ")</f>
        <v xml:space="preserve"> </v>
      </c>
      <c r="J52" s="4" t="str">
        <f>IF(A52&lt;('2. Inputs and results'!$C$23+1),J51*(1+'2. Inputs and results'!$C$68)," ")</f>
        <v xml:space="preserve"> </v>
      </c>
      <c r="K52" s="4" t="e">
        <f>IF(A52&lt;('2. Inputs and results'!$C$23+1),K51+(G52+I52+H52+J52),NA())</f>
        <v>#N/A</v>
      </c>
      <c r="L52" s="4" t="e">
        <f>IF(A52&lt;('2. Inputs and results'!$C$23+1),L51,NA())</f>
        <v>#N/A</v>
      </c>
      <c r="M52" s="4" t="str">
        <f>IF(A52&lt;('2. Inputs and results'!$C$23+1),'2. Inputs and results'!$C$77*'2. Inputs and results'!$C$75," ")</f>
        <v xml:space="preserve"> </v>
      </c>
      <c r="N52" s="4" t="str">
        <f>IF(A52&lt;('2. Inputs and results'!$C$23+1),M52/((1+$P$2)^A52)," ")</f>
        <v xml:space="preserve"> </v>
      </c>
      <c r="O52" s="4" t="str">
        <f>IF(A52&lt;('2. Inputs and results'!$C$23+1),'2. Inputs and results'!$C$75*'2. Inputs and results'!$C$77+O51," ")</f>
        <v xml:space="preserve"> </v>
      </c>
      <c r="P52" s="4" t="str">
        <f>IF(A52&lt;('2. Inputs and results'!$C$23+1),(G52+I52+H52+J52)/((1+$P$2)^A52)," ")</f>
        <v xml:space="preserve"> </v>
      </c>
      <c r="Q52" s="4" t="str">
        <f>IF(A52&lt;('2. Inputs and results'!$C$23+1),Q51+P52," ")</f>
        <v xml:space="preserve"> </v>
      </c>
      <c r="R52" s="4" t="e">
        <f>IF(A52&lt;('2. Inputs and results'!$C$23+1),R51+G52+I52+H52+J52+T52-$V$6,NA())</f>
        <v>#N/A</v>
      </c>
      <c r="S52" s="4" t="str">
        <f>IF(A52&lt;('2. Inputs and results'!$C$23+1),'2. Inputs and results'!$C$81*(R51)," ")</f>
        <v xml:space="preserve"> </v>
      </c>
      <c r="T52" s="4">
        <f t="shared" si="1"/>
        <v>0</v>
      </c>
      <c r="U52" s="4" t="e">
        <f>IF(A52&lt;('2. Inputs and results'!$C$23+1),U51+((G52+I52+H52+J52-$V$6+T52)/((1+$P$2)^A52)),NA())</f>
        <v>#N/A</v>
      </c>
      <c r="V52" s="4" t="str">
        <f>IF(A52&lt;('2. Inputs and results'!$C$23+1),V51+('2. Inputs and results'!$C$77*'2. Inputs and results'!$C$75)," ")</f>
        <v xml:space="preserve"> </v>
      </c>
      <c r="W52" s="4" t="e">
        <f>IF(A52&lt;('2. Inputs and results'!$C$23+1),W51+C52+Y52-$V$6,NA())</f>
        <v>#N/A</v>
      </c>
      <c r="X52" s="4" t="str">
        <f>IF(A52&lt;('2. Inputs and results'!$C$23+1),'2. Inputs and results'!$C$81*(W51)," ")</f>
        <v xml:space="preserve"> </v>
      </c>
      <c r="Y52" s="4">
        <f t="shared" si="2"/>
        <v>0</v>
      </c>
      <c r="Z52" s="4" t="e">
        <f>IF(A52&lt;('2. Inputs and results'!$C$23+1),Z51+((C52-$V$6+Y52)/((1+$P$2)^A52)),NA())</f>
        <v>#N/A</v>
      </c>
      <c r="AA52" s="4" t="str">
        <f>IF(A52&lt;('2. Inputs and results'!$C$23+1),AA51+G52+I52+H52+T52-$V$6," ")</f>
        <v xml:space="preserve"> </v>
      </c>
      <c r="AB52" s="11" t="e">
        <f>IF(A52&lt;('2. Inputs and results'!$C$23+1),AA52/L52,NA())</f>
        <v>#N/A</v>
      </c>
      <c r="AC52" s="12" t="str">
        <f>IF(A52&lt;('2. Inputs and results'!$C$23+1),AC51+C52+Y52-$V$6," ")</f>
        <v xml:space="preserve"> </v>
      </c>
      <c r="AD52" s="11" t="e">
        <f>IF(A52&lt;('2. Inputs and results'!$C$23+1),AC52/L52,NA())</f>
        <v>#N/A</v>
      </c>
      <c r="AE52" t="str">
        <f>IF(A52&lt;('2. Inputs and results'!$C$23+1),-'2. Inputs and results'!$C$124*A52," ")</f>
        <v xml:space="preserve"> </v>
      </c>
      <c r="AF52" t="e">
        <f>IF(A52&lt;('2. Inputs and results'!$C$23+1),AE52/1000,NA())</f>
        <v>#N/A</v>
      </c>
    </row>
    <row r="53" spans="1:32">
      <c r="A53">
        <f t="shared" si="0"/>
        <v>48</v>
      </c>
      <c r="B53" t="str">
        <f>IF(A53&lt;('2. Inputs and results'!$C$23+1),A53," ")</f>
        <v xml:space="preserve"> </v>
      </c>
      <c r="C53" s="4" t="str">
        <f>IF(A53&lt;('2. Inputs and results'!$C$23+1),'2. Inputs and results'!$C$101+'2. Inputs and results'!$C$103," ")</f>
        <v xml:space="preserve"> </v>
      </c>
      <c r="D53" s="4" t="e">
        <f>IF(A53&lt;('2. Inputs and results'!$C$23+1),D52+C53,NA())</f>
        <v>#N/A</v>
      </c>
      <c r="E53" s="4" t="str">
        <f>IF(A53&lt;('2. Inputs and results'!$C$23+1),C53/((1+$P$2)^A53)," ")</f>
        <v xml:space="preserve"> </v>
      </c>
      <c r="F53" s="4" t="str">
        <f>IF(B53&lt;('2. Inputs and results'!$C$23+1),F52+E53," ")</f>
        <v xml:space="preserve"> </v>
      </c>
      <c r="G53" s="4" t="str">
        <f>IF(A53&lt;('2. Inputs and results'!$C$23+1),G52*(1+'2. Inputs and results'!$C$46)," ")</f>
        <v xml:space="preserve"> </v>
      </c>
      <c r="H53" s="4" t="str">
        <f>IF(A53&lt;('2. Inputs and results'!$C$23+1),H52*(1+'2. Inputs and results'!$C$58)," ")</f>
        <v xml:space="preserve"> </v>
      </c>
      <c r="I53" s="4" t="str">
        <f>IF(A53&lt;('2. Inputs and results'!$C$23+1),I52*(1+'2. Inputs and results'!$C$34)," ")</f>
        <v xml:space="preserve"> </v>
      </c>
      <c r="J53" s="4" t="str">
        <f>IF(A53&lt;('2. Inputs and results'!$C$23+1),J52*(1+'2. Inputs and results'!$C$68)," ")</f>
        <v xml:space="preserve"> </v>
      </c>
      <c r="K53" s="4" t="e">
        <f>IF(A53&lt;('2. Inputs and results'!$C$23+1),K52+(G53+I53+H53+J53),NA())</f>
        <v>#N/A</v>
      </c>
      <c r="L53" s="4" t="e">
        <f>IF(A53&lt;('2. Inputs and results'!$C$23+1),L52,NA())</f>
        <v>#N/A</v>
      </c>
      <c r="M53" s="4" t="str">
        <f>IF(A53&lt;('2. Inputs and results'!$C$23+1),'2. Inputs and results'!$C$77*'2. Inputs and results'!$C$75," ")</f>
        <v xml:space="preserve"> </v>
      </c>
      <c r="N53" s="4" t="str">
        <f>IF(A53&lt;('2. Inputs and results'!$C$23+1),M53/((1+$P$2)^A53)," ")</f>
        <v xml:space="preserve"> </v>
      </c>
      <c r="O53" s="4" t="str">
        <f>IF(A53&lt;('2. Inputs and results'!$C$23+1),'2. Inputs and results'!$C$75*'2. Inputs and results'!$C$77+O52," ")</f>
        <v xml:space="preserve"> </v>
      </c>
      <c r="P53" s="4" t="str">
        <f>IF(A53&lt;('2. Inputs and results'!$C$23+1),(G53+I53+H53+J53)/((1+$P$2)^A53)," ")</f>
        <v xml:space="preserve"> </v>
      </c>
      <c r="Q53" s="4" t="str">
        <f>IF(A53&lt;('2. Inputs and results'!$C$23+1),Q52+P53," ")</f>
        <v xml:space="preserve"> </v>
      </c>
      <c r="R53" s="4" t="e">
        <f>IF(A53&lt;('2. Inputs and results'!$C$23+1),R52+G53+I53+H53+J53+T53-$V$6,NA())</f>
        <v>#N/A</v>
      </c>
      <c r="S53" s="4" t="str">
        <f>IF(A53&lt;('2. Inputs and results'!$C$23+1),'2. Inputs and results'!$C$81*(R52)," ")</f>
        <v xml:space="preserve"> </v>
      </c>
      <c r="T53" s="4">
        <f t="shared" si="1"/>
        <v>0</v>
      </c>
      <c r="U53" s="4" t="e">
        <f>IF(A53&lt;('2. Inputs and results'!$C$23+1),U52+((G53+I53+H53+J53-$V$6+T53)/((1+$P$2)^A53)),NA())</f>
        <v>#N/A</v>
      </c>
      <c r="V53" s="4" t="str">
        <f>IF(A53&lt;('2. Inputs and results'!$C$23+1),V52+('2. Inputs and results'!$C$77*'2. Inputs and results'!$C$75)," ")</f>
        <v xml:space="preserve"> </v>
      </c>
      <c r="W53" s="4" t="e">
        <f>IF(A53&lt;('2. Inputs and results'!$C$23+1),W52+C53+Y53-$V$6,NA())</f>
        <v>#N/A</v>
      </c>
      <c r="X53" s="4" t="str">
        <f>IF(A53&lt;('2. Inputs and results'!$C$23+1),'2. Inputs and results'!$C$81*(W52)," ")</f>
        <v xml:space="preserve"> </v>
      </c>
      <c r="Y53" s="4">
        <f t="shared" si="2"/>
        <v>0</v>
      </c>
      <c r="Z53" s="4" t="e">
        <f>IF(A53&lt;('2. Inputs and results'!$C$23+1),Z52+((C53-$V$6+Y53)/((1+$P$2)^A53)),NA())</f>
        <v>#N/A</v>
      </c>
      <c r="AA53" s="4" t="str">
        <f>IF(A53&lt;('2. Inputs and results'!$C$23+1),AA52+G53+I53+H53+T53-$V$6," ")</f>
        <v xml:space="preserve"> </v>
      </c>
      <c r="AB53" s="11" t="e">
        <f>IF(A53&lt;('2. Inputs and results'!$C$23+1),AA53/L53,NA())</f>
        <v>#N/A</v>
      </c>
      <c r="AC53" s="12" t="str">
        <f>IF(A53&lt;('2. Inputs and results'!$C$23+1),AC52+C53+Y53-$V$6," ")</f>
        <v xml:space="preserve"> </v>
      </c>
      <c r="AD53" s="11" t="e">
        <f>IF(A53&lt;('2. Inputs and results'!$C$23+1),AC53/L53,NA())</f>
        <v>#N/A</v>
      </c>
      <c r="AE53" t="str">
        <f>IF(A53&lt;('2. Inputs and results'!$C$23+1),-'2. Inputs and results'!$C$124*A53," ")</f>
        <v xml:space="preserve"> </v>
      </c>
      <c r="AF53" t="e">
        <f>IF(A53&lt;('2. Inputs and results'!$C$23+1),AE53/1000,NA())</f>
        <v>#N/A</v>
      </c>
    </row>
    <row r="54" spans="1:32">
      <c r="A54">
        <f t="shared" si="0"/>
        <v>49</v>
      </c>
      <c r="B54" t="str">
        <f>IF(A54&lt;('2. Inputs and results'!$C$23+1),A54," ")</f>
        <v xml:space="preserve"> </v>
      </c>
      <c r="C54" s="4" t="str">
        <f>IF(A54&lt;('2. Inputs and results'!$C$23+1),'2. Inputs and results'!$C$101+'2. Inputs and results'!$C$103," ")</f>
        <v xml:space="preserve"> </v>
      </c>
      <c r="D54" s="4" t="e">
        <f>IF(A54&lt;('2. Inputs and results'!$C$23+1),D53+C54,NA())</f>
        <v>#N/A</v>
      </c>
      <c r="E54" s="4" t="str">
        <f>IF(A54&lt;('2. Inputs and results'!$C$23+1),C54/((1+$P$2)^A54)," ")</f>
        <v xml:space="preserve"> </v>
      </c>
      <c r="F54" s="4" t="str">
        <f>IF(B54&lt;('2. Inputs and results'!$C$23+1),F53+E54," ")</f>
        <v xml:space="preserve"> </v>
      </c>
      <c r="G54" s="4" t="str">
        <f>IF(A54&lt;('2. Inputs and results'!$C$23+1),G53*(1+'2. Inputs and results'!$C$46)," ")</f>
        <v xml:space="preserve"> </v>
      </c>
      <c r="H54" s="4" t="str">
        <f>IF(A54&lt;('2. Inputs and results'!$C$23+1),H53*(1+'2. Inputs and results'!$C$58)," ")</f>
        <v xml:space="preserve"> </v>
      </c>
      <c r="I54" s="4" t="str">
        <f>IF(A54&lt;('2. Inputs and results'!$C$23+1),I53*(1+'2. Inputs and results'!$C$34)," ")</f>
        <v xml:space="preserve"> </v>
      </c>
      <c r="J54" s="4" t="str">
        <f>IF(A54&lt;('2. Inputs and results'!$C$23+1),J53*(1+'2. Inputs and results'!$C$68)," ")</f>
        <v xml:space="preserve"> </v>
      </c>
      <c r="K54" s="4" t="e">
        <f>IF(A54&lt;('2. Inputs and results'!$C$23+1),K53+(G54+I54+H54+J54),NA())</f>
        <v>#N/A</v>
      </c>
      <c r="L54" s="4" t="e">
        <f>IF(A54&lt;('2. Inputs and results'!$C$23+1),L53,NA())</f>
        <v>#N/A</v>
      </c>
      <c r="M54" s="4" t="str">
        <f>IF(A54&lt;('2. Inputs and results'!$C$23+1),'2. Inputs and results'!$C$77*'2. Inputs and results'!$C$75," ")</f>
        <v xml:space="preserve"> </v>
      </c>
      <c r="N54" s="4" t="str">
        <f>IF(A54&lt;('2. Inputs and results'!$C$23+1),M54/((1+$P$2)^A54)," ")</f>
        <v xml:space="preserve"> </v>
      </c>
      <c r="O54" s="4" t="str">
        <f>IF(A54&lt;('2. Inputs and results'!$C$23+1),'2. Inputs and results'!$C$75*'2. Inputs and results'!$C$77+O53," ")</f>
        <v xml:space="preserve"> </v>
      </c>
      <c r="P54" s="4" t="str">
        <f>IF(A54&lt;('2. Inputs and results'!$C$23+1),(G54+I54+H54+J54)/((1+$P$2)^A54)," ")</f>
        <v xml:space="preserve"> </v>
      </c>
      <c r="Q54" s="4" t="str">
        <f>IF(A54&lt;('2. Inputs and results'!$C$23+1),Q53+P54," ")</f>
        <v xml:space="preserve"> </v>
      </c>
      <c r="R54" s="4" t="e">
        <f>IF(A54&lt;('2. Inputs and results'!$C$23+1),R53+G54+I54+H54+J54+T54-$V$6,NA())</f>
        <v>#N/A</v>
      </c>
      <c r="S54" s="4" t="str">
        <f>IF(A54&lt;('2. Inputs and results'!$C$23+1),'2. Inputs and results'!$C$81*(R53)," ")</f>
        <v xml:space="preserve"> </v>
      </c>
      <c r="T54" s="4">
        <f t="shared" si="1"/>
        <v>0</v>
      </c>
      <c r="U54" s="4" t="e">
        <f>IF(A54&lt;('2. Inputs and results'!$C$23+1),U53+((G54+I54+H54+J54-$V$6+T54)/((1+$P$2)^A54)),NA())</f>
        <v>#N/A</v>
      </c>
      <c r="V54" s="4" t="str">
        <f>IF(A54&lt;('2. Inputs and results'!$C$23+1),V53+('2. Inputs and results'!$C$77*'2. Inputs and results'!$C$75)," ")</f>
        <v xml:space="preserve"> </v>
      </c>
      <c r="W54" s="4" t="e">
        <f>IF(A54&lt;('2. Inputs and results'!$C$23+1),W53+C54+Y54-$V$6,NA())</f>
        <v>#N/A</v>
      </c>
      <c r="X54" s="4" t="str">
        <f>IF(A54&lt;('2. Inputs and results'!$C$23+1),'2. Inputs and results'!$C$81*(W53)," ")</f>
        <v xml:space="preserve"> </v>
      </c>
      <c r="Y54" s="4">
        <f t="shared" si="2"/>
        <v>0</v>
      </c>
      <c r="Z54" s="4" t="e">
        <f>IF(A54&lt;('2. Inputs and results'!$C$23+1),Z53+((C54-$V$6+Y54)/((1+$P$2)^A54)),NA())</f>
        <v>#N/A</v>
      </c>
      <c r="AA54" s="4" t="str">
        <f>IF(A54&lt;('2. Inputs and results'!$C$23+1),AA53+G54+I54+H54+T54-$V$6," ")</f>
        <v xml:space="preserve"> </v>
      </c>
      <c r="AB54" s="11" t="e">
        <f>IF(A54&lt;('2. Inputs and results'!$C$23+1),AA54/L54,NA())</f>
        <v>#N/A</v>
      </c>
      <c r="AC54" s="12" t="str">
        <f>IF(A54&lt;('2. Inputs and results'!$C$23+1),AC53+C54+Y54-$V$6," ")</f>
        <v xml:space="preserve"> </v>
      </c>
      <c r="AD54" s="11" t="e">
        <f>IF(A54&lt;('2. Inputs and results'!$C$23+1),AC54/L54,NA())</f>
        <v>#N/A</v>
      </c>
      <c r="AE54" t="str">
        <f>IF(A54&lt;('2. Inputs and results'!$C$23+1),-'2. Inputs and results'!$C$124*A54," ")</f>
        <v xml:space="preserve"> </v>
      </c>
      <c r="AF54" t="e">
        <f>IF(A54&lt;('2. Inputs and results'!$C$23+1),AE54/1000,NA())</f>
        <v>#N/A</v>
      </c>
    </row>
    <row r="55" spans="1:32">
      <c r="A55">
        <f t="shared" si="0"/>
        <v>50</v>
      </c>
      <c r="B55" t="str">
        <f>IF(A55&lt;('2. Inputs and results'!$C$23+1),A55," ")</f>
        <v xml:space="preserve"> </v>
      </c>
      <c r="C55" s="4" t="str">
        <f>IF(A55&lt;('2. Inputs and results'!$C$23+1),'2. Inputs and results'!$C$101+'2. Inputs and results'!$C$103," ")</f>
        <v xml:space="preserve"> </v>
      </c>
      <c r="D55" s="4" t="e">
        <f>IF(A55&lt;('2. Inputs and results'!$C$23+1),D54+C55,NA())</f>
        <v>#N/A</v>
      </c>
      <c r="E55" s="4" t="str">
        <f>IF(A55&lt;('2. Inputs and results'!$C$23+1),C55/((1+$P$2)^A55)," ")</f>
        <v xml:space="preserve"> </v>
      </c>
      <c r="F55" s="4" t="str">
        <f>IF(B55&lt;('2. Inputs and results'!$C$23+1),F54+E55," ")</f>
        <v xml:space="preserve"> </v>
      </c>
      <c r="G55" s="4" t="str">
        <f>IF(A55&lt;('2. Inputs and results'!$C$23+1),G54*(1+'2. Inputs and results'!$C$46)," ")</f>
        <v xml:space="preserve"> </v>
      </c>
      <c r="H55" s="4" t="str">
        <f>IF(A55&lt;('2. Inputs and results'!$C$23+1),H54*(1+'2. Inputs and results'!$C$58)," ")</f>
        <v xml:space="preserve"> </v>
      </c>
      <c r="I55" s="4" t="str">
        <f>IF(A55&lt;('2. Inputs and results'!$C$23+1),I54*(1+'2. Inputs and results'!$C$34)," ")</f>
        <v xml:space="preserve"> </v>
      </c>
      <c r="J55" s="4" t="str">
        <f>IF(A55&lt;('2. Inputs and results'!$C$23+1),J54*(1+'2. Inputs and results'!$C$68)," ")</f>
        <v xml:space="preserve"> </v>
      </c>
      <c r="K55" s="4" t="e">
        <f>IF(A55&lt;('2. Inputs and results'!$C$23+1),K54+(G55+I55+H55+J55),NA())</f>
        <v>#N/A</v>
      </c>
      <c r="L55" s="4" t="e">
        <f>IF(A55&lt;('2. Inputs and results'!$C$23+1),L54,NA())</f>
        <v>#N/A</v>
      </c>
      <c r="M55" s="4" t="str">
        <f>IF(A55&lt;('2. Inputs and results'!$C$23+1),'2. Inputs and results'!$C$77*'2. Inputs and results'!$C$75," ")</f>
        <v xml:space="preserve"> </v>
      </c>
      <c r="N55" s="4" t="str">
        <f>IF(A55&lt;('2. Inputs and results'!$C$23+1),M55/((1+$P$2)^A55)," ")</f>
        <v xml:space="preserve"> </v>
      </c>
      <c r="O55" s="4" t="str">
        <f>IF(A55&lt;('2. Inputs and results'!$C$23+1),'2. Inputs and results'!$C$75*'2. Inputs and results'!$C$77+O54," ")</f>
        <v xml:space="preserve"> </v>
      </c>
      <c r="P55" s="4" t="str">
        <f>IF(A55&lt;('2. Inputs and results'!$C$23+1),(G55+I55+H55+J55)/((1+$P$2)^A55)," ")</f>
        <v xml:space="preserve"> </v>
      </c>
      <c r="Q55" s="4" t="str">
        <f>IF(A55&lt;('2. Inputs and results'!$C$23+1),Q54+P55," ")</f>
        <v xml:space="preserve"> </v>
      </c>
      <c r="R55" s="4" t="e">
        <f>IF(A55&lt;('2. Inputs and results'!$C$23+1),R54+G55+I55+H55+J55+T55-$V$6,NA())</f>
        <v>#N/A</v>
      </c>
      <c r="S55" s="4" t="str">
        <f>IF(A55&lt;('2. Inputs and results'!$C$23+1),'2. Inputs and results'!$C$81*(R54)," ")</f>
        <v xml:space="preserve"> </v>
      </c>
      <c r="T55" s="4">
        <f t="shared" si="1"/>
        <v>0</v>
      </c>
      <c r="U55" s="4" t="e">
        <f>IF(A55&lt;('2. Inputs and results'!$C$23+1),U54+((G55+I55+H55+J55-$V$6+T55)/((1+$P$2)^A55)),NA())</f>
        <v>#N/A</v>
      </c>
      <c r="V55" s="4" t="str">
        <f>IF(A55&lt;('2. Inputs and results'!$C$23+1),V54+('2. Inputs and results'!$C$77*'2. Inputs and results'!$C$75)," ")</f>
        <v xml:space="preserve"> </v>
      </c>
      <c r="W55" s="4" t="e">
        <f>IF(A55&lt;('2. Inputs and results'!$C$23+1),W54+C55+Y55-$V$6,NA())</f>
        <v>#N/A</v>
      </c>
      <c r="X55" s="4" t="str">
        <f>IF(A55&lt;('2. Inputs and results'!$C$23+1),'2. Inputs and results'!$C$81*(W54)," ")</f>
        <v xml:space="preserve"> </v>
      </c>
      <c r="Y55" s="4">
        <f t="shared" si="2"/>
        <v>0</v>
      </c>
      <c r="Z55" s="4" t="e">
        <f>IF(A55&lt;('2. Inputs and results'!$C$23+1),Z54+((C55-$V$6+Y55)/((1+$P$2)^A55)),NA())</f>
        <v>#N/A</v>
      </c>
      <c r="AA55" s="4" t="str">
        <f>IF(A55&lt;('2. Inputs and results'!$C$23+1),AA54+G55+I55+H55+T55-$V$6," ")</f>
        <v xml:space="preserve"> </v>
      </c>
      <c r="AB55" s="11" t="e">
        <f>IF(A55&lt;('2. Inputs and results'!$C$23+1),AA55/L55,NA())</f>
        <v>#N/A</v>
      </c>
      <c r="AC55" s="12" t="str">
        <f>IF(A55&lt;('2. Inputs and results'!$C$23+1),AC54+C55+Y55-$V$6," ")</f>
        <v xml:space="preserve"> </v>
      </c>
      <c r="AD55" s="11" t="e">
        <f>IF(A55&lt;('2. Inputs and results'!$C$23+1),AC55/L55,NA())</f>
        <v>#N/A</v>
      </c>
      <c r="AE55" t="str">
        <f>IF(A55&lt;('2. Inputs and results'!$C$23+1),-'2. Inputs and results'!$C$124*A55," ")</f>
        <v xml:space="preserve"> </v>
      </c>
      <c r="AF55" t="e">
        <f>IF(A55&lt;('2. Inputs and results'!$C$23+1),AE55/1000,NA())</f>
        <v>#N/A</v>
      </c>
    </row>
    <row r="56" spans="1:32">
      <c r="U56" s="4"/>
    </row>
  </sheetData>
  <sheetProtection sheet="1" objects="1" scenarios="1"/>
  <conditionalFormatting sqref="D6:D55">
    <cfRule type="containsText" dxfId="3" priority="3" operator="containsText" text="#PUUTTUU!">
      <formula>NOT(ISERROR(SEARCH("#PUUTTUU!",D6)))</formula>
    </cfRule>
  </conditionalFormatting>
  <pageMargins left="0.7" right="0.7" top="0.75" bottom="0.75" header="0.3" footer="0.3"/>
  <pageSetup paperSize="9" scale="51"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F60"/>
  <sheetViews>
    <sheetView topLeftCell="G1" workbookViewId="0">
      <selection activeCell="G8" sqref="G8"/>
    </sheetView>
  </sheetViews>
  <sheetFormatPr defaultColWidth="9" defaultRowHeight="15"/>
  <cols>
    <col min="1" max="2" width="27.42578125" customWidth="1"/>
    <col min="3" max="3" width="36.5703125" customWidth="1"/>
    <col min="4" max="5" width="34.85546875" customWidth="1"/>
    <col min="6" max="6" width="44.140625" customWidth="1"/>
    <col min="7" max="8" width="24.85546875" customWidth="1"/>
    <col min="9" max="10" width="26.42578125" customWidth="1"/>
    <col min="11" max="11" width="33.28515625" customWidth="1"/>
    <col min="12" max="14" width="17.42578125" customWidth="1"/>
    <col min="15" max="15" width="27.85546875" customWidth="1"/>
    <col min="16" max="16" width="36.140625" customWidth="1"/>
    <col min="17" max="17" width="15" customWidth="1"/>
    <col min="18" max="18" width="38.85546875" customWidth="1"/>
    <col min="19" max="22" width="32.7109375" customWidth="1"/>
    <col min="23" max="23" width="38.42578125" customWidth="1"/>
    <col min="24" max="25" width="32.7109375" customWidth="1"/>
    <col min="26" max="30" width="39" customWidth="1"/>
    <col min="31" max="31" width="17.5703125" customWidth="1"/>
  </cols>
  <sheetData>
    <row r="1" spans="1:32">
      <c r="K1" s="5"/>
      <c r="P1" s="6"/>
      <c r="R1" s="9" t="s">
        <v>248</v>
      </c>
      <c r="S1" s="9"/>
      <c r="T1" s="9"/>
      <c r="U1" s="9"/>
      <c r="V1" s="9"/>
      <c r="W1" s="9"/>
      <c r="X1" s="9"/>
      <c r="Y1" s="9"/>
      <c r="Z1" s="9"/>
      <c r="AA1" s="9"/>
      <c r="AB1" s="9"/>
      <c r="AC1" s="9"/>
      <c r="AD1" s="9"/>
    </row>
    <row r="2" spans="1:32">
      <c r="O2" s="7" t="s">
        <v>250</v>
      </c>
      <c r="P2" s="8">
        <f>'2. Inputs and results'!B83</f>
        <v>0.04</v>
      </c>
      <c r="R2" s="9"/>
      <c r="S2" s="9"/>
      <c r="T2" s="9"/>
      <c r="U2" s="7"/>
      <c r="V2" s="9"/>
      <c r="W2" s="9"/>
      <c r="X2" s="9"/>
      <c r="Y2" s="9"/>
      <c r="Z2" s="7"/>
      <c r="AA2" s="7"/>
      <c r="AB2" s="7"/>
      <c r="AC2" s="7"/>
      <c r="AD2" s="7"/>
    </row>
    <row r="3" spans="1:32">
      <c r="G3" s="1" t="s">
        <v>302</v>
      </c>
      <c r="H3" s="1"/>
      <c r="I3" s="5"/>
      <c r="J3" s="5"/>
      <c r="K3" s="5"/>
      <c r="R3" s="9"/>
      <c r="S3" s="9"/>
      <c r="T3" s="9"/>
      <c r="U3" s="7" t="s">
        <v>252</v>
      </c>
      <c r="V3" s="9"/>
      <c r="W3" s="9"/>
      <c r="X3" s="9"/>
      <c r="Y3" s="9"/>
      <c r="Z3" t="s">
        <v>253</v>
      </c>
      <c r="AA3" t="s">
        <v>249</v>
      </c>
      <c r="AB3" t="s">
        <v>249</v>
      </c>
      <c r="AC3" t="s">
        <v>249</v>
      </c>
      <c r="AD3" t="s">
        <v>249</v>
      </c>
      <c r="AE3" t="s">
        <v>254</v>
      </c>
    </row>
    <row r="4" spans="1:32">
      <c r="A4" t="s">
        <v>255</v>
      </c>
      <c r="C4" s="7" t="s">
        <v>303</v>
      </c>
      <c r="D4" s="7" t="s">
        <v>257</v>
      </c>
      <c r="E4" s="7" t="s">
        <v>258</v>
      </c>
      <c r="F4" s="7" t="s">
        <v>259</v>
      </c>
      <c r="G4" s="5" t="s">
        <v>260</v>
      </c>
      <c r="H4" s="5" t="s">
        <v>261</v>
      </c>
      <c r="I4" s="5" t="s">
        <v>262</v>
      </c>
      <c r="J4" s="5" t="s">
        <v>263</v>
      </c>
      <c r="K4" t="s">
        <v>264</v>
      </c>
      <c r="L4" t="s">
        <v>265</v>
      </c>
      <c r="M4" t="s">
        <v>266</v>
      </c>
      <c r="N4" t="s">
        <v>267</v>
      </c>
      <c r="O4" t="s">
        <v>268</v>
      </c>
      <c r="P4" t="s">
        <v>269</v>
      </c>
      <c r="Q4" t="s">
        <v>270</v>
      </c>
      <c r="R4" s="9" t="s">
        <v>271</v>
      </c>
      <c r="S4" s="9" t="s">
        <v>272</v>
      </c>
      <c r="T4" s="9" t="s">
        <v>273</v>
      </c>
      <c r="U4" s="9" t="s">
        <v>274</v>
      </c>
      <c r="V4" s="9" t="s">
        <v>275</v>
      </c>
      <c r="W4" s="9" t="s">
        <v>276</v>
      </c>
      <c r="X4" s="9" t="s">
        <v>277</v>
      </c>
      <c r="Y4" s="9" t="s">
        <v>273</v>
      </c>
      <c r="Z4" s="9" t="s">
        <v>278</v>
      </c>
      <c r="AA4" s="9" t="s">
        <v>279</v>
      </c>
      <c r="AB4" s="9" t="s">
        <v>280</v>
      </c>
      <c r="AC4" s="9" t="s">
        <v>281</v>
      </c>
      <c r="AD4" s="9" t="s">
        <v>282</v>
      </c>
      <c r="AE4" t="s">
        <v>283</v>
      </c>
      <c r="AF4" t="s">
        <v>284</v>
      </c>
    </row>
    <row r="5" spans="1:32">
      <c r="A5">
        <v>0</v>
      </c>
      <c r="B5">
        <f>IF(A5&lt;('2. Inputs and results'!$B$23+1),A5," ")</f>
        <v>0</v>
      </c>
      <c r="C5" s="4">
        <v>0</v>
      </c>
      <c r="D5" s="4">
        <f>C5</f>
        <v>0</v>
      </c>
      <c r="E5" s="4">
        <v>0</v>
      </c>
      <c r="F5" s="4"/>
      <c r="G5" s="4">
        <v>0</v>
      </c>
      <c r="H5" s="4">
        <v>0</v>
      </c>
      <c r="I5" s="4">
        <v>0</v>
      </c>
      <c r="J5" s="4"/>
      <c r="K5" s="4">
        <f>G5+I5+H5+J5</f>
        <v>0</v>
      </c>
      <c r="L5" s="4">
        <f>'2. Inputs and results'!B75-('2. Inputs and results'!B79*'2. Inputs and results'!B75)</f>
        <v>156400</v>
      </c>
      <c r="M5" s="4"/>
      <c r="N5" s="4"/>
      <c r="O5" s="4"/>
      <c r="P5" s="4"/>
      <c r="Q5" s="4"/>
      <c r="R5" s="4">
        <f>-L5</f>
        <v>-156400</v>
      </c>
      <c r="S5" s="4"/>
      <c r="T5" s="4"/>
      <c r="U5" s="4">
        <f>R5</f>
        <v>-156400</v>
      </c>
      <c r="V5" s="4"/>
      <c r="W5" s="4">
        <f>-L5</f>
        <v>-156400</v>
      </c>
      <c r="X5" s="4"/>
      <c r="Y5" s="4"/>
      <c r="Z5" s="4">
        <f>W5</f>
        <v>-156400</v>
      </c>
      <c r="AA5" s="4">
        <f>G5+I5+H5+T5-$V$5</f>
        <v>0</v>
      </c>
      <c r="AB5" s="11">
        <f>IF(A5&lt;('2. Inputs and results'!$B$23+1),AA5/L5,NA())</f>
        <v>0</v>
      </c>
      <c r="AC5" s="12">
        <f>(C5+Y5-$V$5)</f>
        <v>0</v>
      </c>
      <c r="AD5" s="11">
        <f>IF(A5&lt;('2. Inputs and results'!$B$23+1),AC5/L5,NA())</f>
        <v>0</v>
      </c>
      <c r="AE5">
        <f>IF(A5&lt;('2. Inputs and results'!$B$23+1),-'2. Inputs and results'!$B$124*A5," ")</f>
        <v>0</v>
      </c>
      <c r="AF5">
        <f>IF(A5&lt;('2. Inputs and results'!$B$23+1),AE5/1000,NA())</f>
        <v>0</v>
      </c>
    </row>
    <row r="6" spans="1:32">
      <c r="A6">
        <f>A5+1</f>
        <v>1</v>
      </c>
      <c r="B6">
        <f>IF(A6&lt;('2. Inputs and results'!$B$23+1),A6," ")</f>
        <v>1</v>
      </c>
      <c r="C6" s="4">
        <f>IF(A6&lt;('2. Inputs and results'!$B$23+1),'2. Inputs and results'!$B$101+'2. Inputs and results'!$B$103," ")</f>
        <v>11460</v>
      </c>
      <c r="D6" s="4">
        <f>C6</f>
        <v>11460</v>
      </c>
      <c r="E6" s="4">
        <f>IF(B6&lt;('2. Inputs and results'!$B$23+1),C6/((1+$P$2)^A6)," ")</f>
        <v>11019.23076923077</v>
      </c>
      <c r="F6" s="4">
        <f>E6</f>
        <v>11019.23076923077</v>
      </c>
      <c r="G6" s="4">
        <f>'2. Inputs and results'!B95</f>
        <v>11700</v>
      </c>
      <c r="H6" s="4">
        <f>'2. Inputs and results'!B99</f>
        <v>0</v>
      </c>
      <c r="I6" s="4">
        <f>'2. Inputs and results'!B97</f>
        <v>-240</v>
      </c>
      <c r="J6" s="4">
        <f>'2. Inputs and results'!B103</f>
        <v>0</v>
      </c>
      <c r="K6" s="4">
        <f>G6+I6+H6+J6</f>
        <v>11460</v>
      </c>
      <c r="L6" s="4">
        <f>'2. Inputs and results'!B75-('2. Inputs and results'!B79*'2. Inputs and results'!B75)</f>
        <v>156400</v>
      </c>
      <c r="M6" s="4">
        <f>IF(A6&lt;('2. Inputs and results'!$B$23+1),'2. Inputs and results'!$B$77*'2. Inputs and results'!$B$75," ")</f>
        <v>1840</v>
      </c>
      <c r="N6" s="4">
        <f>IF(A6&lt;('2. Inputs and results'!$B$23+1),M6/((1+$P$2)^A6)," ")</f>
        <v>1769.2307692307693</v>
      </c>
      <c r="O6" s="4">
        <f>L6</f>
        <v>156400</v>
      </c>
      <c r="P6" s="4">
        <f>IF(A6&lt;('2. Inputs and results'!$B$23+1),(G6+I6+H6+J6)/((1+$P$2)^A6)," ")</f>
        <v>11019.23076923077</v>
      </c>
      <c r="Q6" s="4">
        <f>P6</f>
        <v>11019.23076923077</v>
      </c>
      <c r="R6" s="4">
        <f>-L6+G6+I6+H6+J6+T6-$V$6</f>
        <v>-149908</v>
      </c>
      <c r="S6" s="4">
        <f>IF(A6&lt;('2. Inputs and results'!$B$23+1),'2. Inputs and results'!$B$81*(R5)," ")</f>
        <v>-3128</v>
      </c>
      <c r="T6" s="4">
        <f>IF(S6&lt;0,S6,0)</f>
        <v>-3128</v>
      </c>
      <c r="U6" s="4">
        <f>IF(A6&lt;('2. Inputs and results'!$B$23+1),U5+(T6+I6+G6+H6+J6-$V$6)/((1+$P$2)^A6),NA())</f>
        <v>-150157.69230769231</v>
      </c>
      <c r="V6" s="4">
        <f>'2. Inputs and results'!$B$77*'2. Inputs and results'!$B$75</f>
        <v>1840</v>
      </c>
      <c r="W6" s="4">
        <f>-L6+C6+Y6-$V$6</f>
        <v>-149908</v>
      </c>
      <c r="X6" s="4">
        <f>IF(A6&lt;('2. Inputs and results'!$B$23+1),'2. Inputs and results'!$B$81*W5," ")</f>
        <v>-3128</v>
      </c>
      <c r="Y6" s="4">
        <f>IF(X6&lt;0,X6,0)</f>
        <v>-3128</v>
      </c>
      <c r="Z6" s="4">
        <f>IF(A6&lt;('2. Inputs and results'!$B$23+1),Z5+(C6-$V$6+Y6)/((1+$P$2)^A6),NA())</f>
        <v>-150157.69230769231</v>
      </c>
      <c r="AA6" s="4">
        <f>IF(A6&lt;('2. Inputs and results'!$B$23+1),AA5+(G6+I6+H6+T6-$V$6)," ")</f>
        <v>6492</v>
      </c>
      <c r="AB6" s="11">
        <f>IF(A6&lt;('2. Inputs and results'!$B$23+1),AA6/L6,NA())</f>
        <v>4.1508951406649619E-2</v>
      </c>
      <c r="AC6" s="12">
        <f>IF(A6&lt;('2. Inputs and results'!$B$23+1),AC5+(C6+Y6-$V$6)," ")</f>
        <v>6492</v>
      </c>
      <c r="AD6" s="11">
        <f>IF(A6&lt;('2. Inputs and results'!$B$23+1),AC6/L6,NA())</f>
        <v>4.1508951406649619E-2</v>
      </c>
      <c r="AE6">
        <f>IF(A6&lt;('2. Inputs and results'!$B$23+1),-'2. Inputs and results'!$B$124*A6," ")</f>
        <v>-20400</v>
      </c>
      <c r="AF6">
        <f>IF(A6&lt;('2. Inputs and results'!$B$23+1),AE6/1000,NA())</f>
        <v>-20.399999999999999</v>
      </c>
    </row>
    <row r="7" spans="1:32">
      <c r="A7">
        <f t="shared" ref="A7:A55" si="0">A6+1</f>
        <v>2</v>
      </c>
      <c r="B7">
        <f>IF(A7&lt;('2. Inputs and results'!$B$23+1),A7," ")</f>
        <v>2</v>
      </c>
      <c r="C7" s="4">
        <f>IF(A7&lt;('2. Inputs and results'!$B$23+1),'2. Inputs and results'!$B$101+'2. Inputs and results'!$B$103," ")</f>
        <v>11460</v>
      </c>
      <c r="D7" s="4">
        <f>IF(A7&lt;('2. Inputs and results'!$B$23+1),D6+C7," ")</f>
        <v>22920</v>
      </c>
      <c r="E7" s="4">
        <f>IF(B7&lt;('2. Inputs and results'!$B$23+1),C7/((1+$P$2)^A7)," ")</f>
        <v>10595.41420118343</v>
      </c>
      <c r="F7" s="4">
        <f>IF(A7&lt;('2. Inputs and results'!$B$23+1),F6+E7," ")</f>
        <v>21614.6449704142</v>
      </c>
      <c r="G7" s="4">
        <f>IF(A7&lt;('2. Inputs and results'!$B$23+1),G6*(1+'2. Inputs and results'!$B$48)," ")</f>
        <v>12402</v>
      </c>
      <c r="H7" s="4">
        <f>IF(A7&lt;('2. Inputs and results'!$B$23+1),H6*(1+'2. Inputs and results'!$B$60)," ")</f>
        <v>0</v>
      </c>
      <c r="I7" s="4">
        <f>IF(A7&lt;('2. Inputs and results'!$B$23+1),I6*(1+'2. Inputs and results'!$B$36)," ")</f>
        <v>-254.4</v>
      </c>
      <c r="J7" s="4">
        <f>IF(A7&lt;('2. Inputs and results'!$B$23+1),J6*(1+'2. Inputs and results'!$B$70)," ")</f>
        <v>0</v>
      </c>
      <c r="K7" s="4">
        <f>IF('Solution 1, (hidden) (2)'!A7&lt;('2. Inputs and results'!$B$23+1),K6+(G7+I7+H7+J7),NA())</f>
        <v>23607.599999999999</v>
      </c>
      <c r="L7" s="4">
        <f>IF(A7&lt;('2. Inputs and results'!$B$23+1),L6,NA())</f>
        <v>156400</v>
      </c>
      <c r="M7" s="4">
        <f>IF(A7&lt;('2. Inputs and results'!$B$23+1),'2. Inputs and results'!$B$77*'2. Inputs and results'!$B$75," ")</f>
        <v>1840</v>
      </c>
      <c r="N7" s="4">
        <f>IF(A7&lt;('2. Inputs and results'!$B$23+1),M7/((1+$P$2)^A7)," ")</f>
        <v>1701.1834319526624</v>
      </c>
      <c r="O7" s="4">
        <f>IF(A7&lt;('2. Inputs and results'!$B$23+1),'2. Inputs and results'!$B$75*'2. Inputs and results'!$B$77+O6," ")</f>
        <v>158240</v>
      </c>
      <c r="P7" s="4">
        <f>IF(A7&lt;('2. Inputs and results'!$B$23+1),(G7+I7+H7+J7)/((1+$P$2)^A7)," ")</f>
        <v>11231.139053254437</v>
      </c>
      <c r="Q7" s="4">
        <f>IF(A7&lt;('2. Inputs and results'!$B$23+1),Q6+P7," ")</f>
        <v>22250.369822485205</v>
      </c>
      <c r="R7" s="4">
        <f>IF(A7&lt;('2. Inputs and results'!$B$23+1),R6+G7+I7+H7+J7+T7-$V$6,NA())</f>
        <v>-142598.56</v>
      </c>
      <c r="S7" s="4">
        <f>IF(A7&lt;('2. Inputs and results'!$B$23+1),'2. Inputs and results'!$B$81*(R6)," ")</f>
        <v>-2998.16</v>
      </c>
      <c r="T7" s="4">
        <f t="shared" ref="T7:T55" si="1">IF(S7&lt;0,S7,0)</f>
        <v>-2998.16</v>
      </c>
      <c r="U7" s="4">
        <f>IF(A7&lt;('2. Inputs and results'!$B$23+1),U6+(T7+I7+G7+H7+J7-$V$6)/((1+$P$2)^A7),NA())</f>
        <v>-143399.70414201185</v>
      </c>
      <c r="V7" s="4">
        <f>IF(A7&lt;('2. Inputs and results'!$B$23+1),V6+('2. Inputs and results'!$B$77*'2. Inputs and results'!$B$75)," ")</f>
        <v>3680</v>
      </c>
      <c r="W7" s="4">
        <f>IF(A7&lt;('2. Inputs and results'!$B$23+1),W6+C7+Y7-$V$6,NA())</f>
        <v>-143286.16</v>
      </c>
      <c r="X7" s="4">
        <f>IF(A7&lt;('2. Inputs and results'!$B$23+1),'2. Inputs and results'!$B$81*W6," ")</f>
        <v>-2998.16</v>
      </c>
      <c r="Y7" s="4">
        <f t="shared" ref="Y7:Y55" si="2">IF(X7&lt;0,X7,0)</f>
        <v>-2998.16</v>
      </c>
      <c r="Z7" s="4">
        <f>IF(A7&lt;('2. Inputs and results'!$B$23+1),Z6+(C7-$V$6+Y7)/((1+$P$2)^A7),NA())</f>
        <v>-144035.42899408285</v>
      </c>
      <c r="AA7" s="4">
        <f>IF(A7&lt;('2. Inputs and results'!$B$23+1),AA6+(G7+I7+H7+T7-$V$6)," ")</f>
        <v>13801.44</v>
      </c>
      <c r="AB7" s="11">
        <f>IF(A7&lt;('2. Inputs and results'!$B$23+1),AA7/L7,NA())</f>
        <v>8.8244501278772383E-2</v>
      </c>
      <c r="AC7" s="12">
        <f>IF(A7&lt;('2. Inputs and results'!$B$23+1),AC6+(C7+Y7-$V$6)," ")</f>
        <v>13113.84</v>
      </c>
      <c r="AD7" s="11">
        <f>IF(A7&lt;('2. Inputs and results'!$B$23+1),AC7/L7,NA())</f>
        <v>8.384808184143222E-2</v>
      </c>
      <c r="AE7">
        <f>IF(A7&lt;('2. Inputs and results'!$B$23+1),-'2. Inputs and results'!$B$124*A7," ")</f>
        <v>-40800</v>
      </c>
      <c r="AF7">
        <f>IF(A7&lt;('2. Inputs and results'!$B$23+1),AE7/1000,NA())</f>
        <v>-40.799999999999997</v>
      </c>
    </row>
    <row r="8" spans="1:32">
      <c r="A8">
        <f t="shared" si="0"/>
        <v>3</v>
      </c>
      <c r="B8">
        <f>IF(A8&lt;('2. Inputs and results'!$B$23+1),A8," ")</f>
        <v>3</v>
      </c>
      <c r="C8" s="4">
        <f>IF(A8&lt;('2. Inputs and results'!$B$23+1),'2. Inputs and results'!$B$101+'2. Inputs and results'!$B$103," ")</f>
        <v>11460</v>
      </c>
      <c r="D8" s="4">
        <f>IF(A8&lt;('2. Inputs and results'!$B$23+1),D7+C8,NA())</f>
        <v>34380</v>
      </c>
      <c r="E8" s="4">
        <f>IF(B8&lt;('2. Inputs and results'!$B$23+1),C8/((1+$P$2)^A8)," ")</f>
        <v>10187.898270368683</v>
      </c>
      <c r="F8" s="4">
        <f>IF(A8&lt;('2. Inputs and results'!$B$23+1),F7+E8," ")</f>
        <v>31802.543240782885</v>
      </c>
      <c r="G8" s="4">
        <f>IF(A8&lt;('2. Inputs and results'!$B$23+1),G7*(1+'2. Inputs and results'!$B$48)," ")</f>
        <v>13146.12</v>
      </c>
      <c r="H8" s="4">
        <f>IF(A8&lt;('2. Inputs and results'!$B$23+1),H7*(1+'2. Inputs and results'!$B$60)," ")</f>
        <v>0</v>
      </c>
      <c r="I8" s="4">
        <f>IF(A8&lt;('2. Inputs and results'!$B$23+1),I7*(1+'2. Inputs and results'!$B$36)," ")</f>
        <v>-269.66400000000004</v>
      </c>
      <c r="J8" s="4">
        <f>IF(A8&lt;('2. Inputs and results'!$B$23+1),J7*(1+'2. Inputs and results'!$B$70)," ")</f>
        <v>0</v>
      </c>
      <c r="K8" s="4">
        <f>IF('Solution 1, (hidden) (2)'!A8&lt;('2. Inputs and results'!$B$23+1),K7+(G8+I8+H8+J8),NA())</f>
        <v>36484.055999999997</v>
      </c>
      <c r="L8" s="4">
        <f>IF(A8&lt;('2. Inputs and results'!$B$23+1),L7,NA())</f>
        <v>156400</v>
      </c>
      <c r="M8" s="4">
        <f>IF(A8&lt;('2. Inputs and results'!$B$23+1),'2. Inputs and results'!$B$77*'2. Inputs and results'!$B$75," ")</f>
        <v>1840</v>
      </c>
      <c r="N8" s="4">
        <f>IF(A8&lt;('2. Inputs and results'!$B$23+1),M8/((1+$P$2)^A8)," ")</f>
        <v>1635.7532999544833</v>
      </c>
      <c r="O8" s="4">
        <f>IF(A8&lt;('2. Inputs and results'!$B$23+1),'2. Inputs and results'!$B$75*'2. Inputs and results'!$B$77+O7," ")</f>
        <v>160080</v>
      </c>
      <c r="P8" s="4">
        <f>IF(A8&lt;('2. Inputs and results'!$B$23+1),(G8+I8+H8+J8)/((1+$P$2)^A8)," ")</f>
        <v>11447.122496586253</v>
      </c>
      <c r="Q8" s="4">
        <f>IF(A8&lt;('2. Inputs and results'!$B$23+1),Q7+P8," ")</f>
        <v>33697.492319071462</v>
      </c>
      <c r="R8" s="4">
        <f>IF(A8&lt;('2. Inputs and results'!$B$23+1),R7+G8+I8+H8+J8+T8-$V$6,NA())</f>
        <v>-134414.07520000002</v>
      </c>
      <c r="S8" s="4">
        <f>IF(A8&lt;('2. Inputs and results'!$B$23+1),'2. Inputs and results'!$B$81*(R7)," ")</f>
        <v>-2851.9712</v>
      </c>
      <c r="T8" s="4">
        <f t="shared" si="1"/>
        <v>-2851.9712</v>
      </c>
      <c r="U8" s="4">
        <f>IF(A8&lt;('2. Inputs and results'!$B$23+1),U7+(T8+I8+G8+H8+J8-$V$6)/((1+$P$2)^A8),NA())</f>
        <v>-136123.72695721439</v>
      </c>
      <c r="V8" s="4">
        <f>IF(A8&lt;('2. Inputs and results'!$B$23+1),V7+('2. Inputs and results'!$B$77*'2. Inputs and results'!$B$75)," ")</f>
        <v>5520</v>
      </c>
      <c r="W8" s="4">
        <f>IF(A8&lt;('2. Inputs and results'!$B$23+1),W7+C8+Y8-$V$6,NA())</f>
        <v>-136531.88320000001</v>
      </c>
      <c r="X8" s="4">
        <f>IF(A8&lt;('2. Inputs and results'!$B$23+1),'2. Inputs and results'!$B$81*W7," ")</f>
        <v>-2865.7231999999999</v>
      </c>
      <c r="Y8" s="4">
        <f t="shared" si="2"/>
        <v>-2865.7231999999999</v>
      </c>
      <c r="Z8" s="4">
        <f>IF(A8&lt;('2. Inputs and results'!$B$23+1),Z7+(C8-$V$6+Y8)/((1+$P$2)^A8),NA())</f>
        <v>-138030.90151342741</v>
      </c>
      <c r="AA8" s="4">
        <f>IF(A8&lt;('2. Inputs and results'!$B$23+1),AA7+(G8+I8+H8+T8-$V$6)," ")</f>
        <v>21985.924800000001</v>
      </c>
      <c r="AB8" s="11">
        <f>IF(A8&lt;('2. Inputs and results'!$B$23+1),AA8/L8,NA())</f>
        <v>0.14057496675191816</v>
      </c>
      <c r="AC8" s="12">
        <f>IF(A8&lt;('2. Inputs and results'!$B$23+1),AC7+(C8+Y8-$V$6)," ")</f>
        <v>19868.1168</v>
      </c>
      <c r="AD8" s="11">
        <f>IF(A8&lt;('2. Inputs and results'!$B$23+1),AC8/L8,NA())</f>
        <v>0.12703399488491049</v>
      </c>
      <c r="AE8">
        <f>IF(A8&lt;('2. Inputs and results'!$B$23+1),-'2. Inputs and results'!$B$124*A8," ")</f>
        <v>-61200</v>
      </c>
      <c r="AF8">
        <f>IF(A8&lt;('2. Inputs and results'!$B$23+1),AE8/1000,NA())</f>
        <v>-61.2</v>
      </c>
    </row>
    <row r="9" spans="1:32">
      <c r="A9">
        <f t="shared" si="0"/>
        <v>4</v>
      </c>
      <c r="B9">
        <f>IF(A9&lt;('2. Inputs and results'!$B$23+1),A9," ")</f>
        <v>4</v>
      </c>
      <c r="C9" s="4">
        <f>IF(A9&lt;('2. Inputs and results'!$B$23+1),'2. Inputs and results'!$B$101+'2. Inputs and results'!$B$103," ")</f>
        <v>11460</v>
      </c>
      <c r="D9" s="4">
        <f>IF(A9&lt;('2. Inputs and results'!$B$23+1),D8+C9,NA())</f>
        <v>45840</v>
      </c>
      <c r="E9" s="4">
        <f>IF(B9&lt;('2. Inputs and results'!$B$23+1),C9/((1+$P$2)^A9)," ")</f>
        <v>9796.0560292006558</v>
      </c>
      <c r="F9" s="4">
        <f>IF(A9&lt;('2. Inputs and results'!$B$23+1),F8+E9," ")</f>
        <v>41598.599269983541</v>
      </c>
      <c r="G9" s="4">
        <f>IF(A9&lt;('2. Inputs and results'!$B$23+1),G8*(1+'2. Inputs and results'!$B$48)," ")</f>
        <v>13934.887200000001</v>
      </c>
      <c r="H9" s="4">
        <f>IF(A9&lt;('2. Inputs and results'!$B$23+1),H8*(1+'2. Inputs and results'!$B$60)," ")</f>
        <v>0</v>
      </c>
      <c r="I9" s="4">
        <f>IF(A9&lt;('2. Inputs and results'!$B$23+1),I8*(1+'2. Inputs and results'!$B$36)," ")</f>
        <v>-285.84384000000006</v>
      </c>
      <c r="J9" s="4">
        <f>IF(A9&lt;('2. Inputs and results'!$B$23+1),J8*(1+'2. Inputs and results'!$B$70)," ")</f>
        <v>0</v>
      </c>
      <c r="K9" s="4">
        <f>IF('Solution 1, (hidden) (2)'!A9&lt;('2. Inputs and results'!$B$23+1),K8+(G9+I9+H9+J9),NA())</f>
        <v>50133.09936</v>
      </c>
      <c r="L9" s="4">
        <f>IF(A9&lt;('2. Inputs and results'!$B$23+1),L8,NA())</f>
        <v>156400</v>
      </c>
      <c r="M9" s="4">
        <f>IF(A9&lt;('2. Inputs and results'!$B$23+1),'2. Inputs and results'!$B$77*'2. Inputs and results'!$B$75," ")</f>
        <v>1840</v>
      </c>
      <c r="N9" s="4">
        <f>IF(A9&lt;('2. Inputs and results'!$B$23+1),M9/((1+$P$2)^A9)," ")</f>
        <v>1572.8397114946952</v>
      </c>
      <c r="O9" s="4">
        <f>IF(A9&lt;('2. Inputs and results'!$B$23+1),'2. Inputs and results'!$B$75*'2. Inputs and results'!$B$77+O8," ")</f>
        <v>161920</v>
      </c>
      <c r="P9" s="4">
        <f>IF(A9&lt;('2. Inputs and results'!$B$23+1),(G9+I9+H9+J9)/((1+$P$2)^A9)," ")</f>
        <v>11667.25946767445</v>
      </c>
      <c r="Q9" s="4">
        <f>IF(A9&lt;('2. Inputs and results'!$B$23+1),Q8+P9," ")</f>
        <v>45364.75178674591</v>
      </c>
      <c r="R9" s="4">
        <f>IF(A9&lt;('2. Inputs and results'!$B$23+1),R8+G9+I9+H9+J9+T9-$V$6,NA())</f>
        <v>-125293.31334400002</v>
      </c>
      <c r="S9" s="4">
        <f>IF(A9&lt;('2. Inputs and results'!$B$23+1),'2. Inputs and results'!$B$81*(R8)," ")</f>
        <v>-2688.2815040000005</v>
      </c>
      <c r="T9" s="4">
        <f t="shared" si="1"/>
        <v>-2688.2815040000005</v>
      </c>
      <c r="U9" s="4">
        <f>IF(A9&lt;('2. Inputs and results'!$B$23+1),U8+(T9+I9+G9+H9+J9-$V$6)/((1+$P$2)^A9),NA())</f>
        <v>-128327.26149732152</v>
      </c>
      <c r="V9" s="4">
        <f>IF(A9&lt;('2. Inputs and results'!$B$23+1),V8+('2. Inputs and results'!$B$77*'2. Inputs and results'!$B$75)," ")</f>
        <v>7360</v>
      </c>
      <c r="W9" s="4">
        <f>IF(A9&lt;('2. Inputs and results'!$B$23+1),W8+C9+Y9-$V$6,NA())</f>
        <v>-129642.52086400001</v>
      </c>
      <c r="X9" s="4">
        <f>IF(A9&lt;('2. Inputs and results'!$B$23+1),'2. Inputs and results'!$B$81*W8," ")</f>
        <v>-2730.6376640000003</v>
      </c>
      <c r="Y9" s="4">
        <f t="shared" si="2"/>
        <v>-2730.6376640000003</v>
      </c>
      <c r="Z9" s="4">
        <f>IF(A9&lt;('2. Inputs and results'!$B$23+1),Z8+(C9-$V$6+Y9)/((1+$P$2)^A9),NA())</f>
        <v>-132141.84571509226</v>
      </c>
      <c r="AA9" s="4">
        <f>IF(A9&lt;('2. Inputs and results'!$B$23+1),AA8+(G9+I9+H9+T9-$V$6)," ")</f>
        <v>31106.686656000002</v>
      </c>
      <c r="AB9" s="11">
        <f>IF(A9&lt;('2. Inputs and results'!$B$23+1),AA9/L9,NA())</f>
        <v>0.19889185841432225</v>
      </c>
      <c r="AC9" s="12">
        <f>IF(A9&lt;('2. Inputs and results'!$B$23+1),AC8+(C9+Y9-$V$6)," ")</f>
        <v>26757.479136000002</v>
      </c>
      <c r="AD9" s="11">
        <f>IF(A9&lt;('2. Inputs and results'!$B$23+1),AC9/L9,NA())</f>
        <v>0.17108362618925832</v>
      </c>
      <c r="AE9">
        <f>IF(A9&lt;('2. Inputs and results'!$B$23+1),-'2. Inputs and results'!$B$124*A9," ")</f>
        <v>-81600</v>
      </c>
      <c r="AF9">
        <f>IF(A9&lt;('2. Inputs and results'!$B$23+1),AE9/1000,NA())</f>
        <v>-81.599999999999994</v>
      </c>
    </row>
    <row r="10" spans="1:32">
      <c r="A10">
        <f t="shared" si="0"/>
        <v>5</v>
      </c>
      <c r="B10">
        <f>IF(A10&lt;('2. Inputs and results'!$B$23+1),A10," ")</f>
        <v>5</v>
      </c>
      <c r="C10" s="4">
        <f>IF(A10&lt;('2. Inputs and results'!$B$23+1),'2. Inputs and results'!$B$101+'2. Inputs and results'!$B$103," ")</f>
        <v>11460</v>
      </c>
      <c r="D10" s="4">
        <f>IF(A10&lt;('2. Inputs and results'!$B$23+1),D9+C10,NA())</f>
        <v>57300</v>
      </c>
      <c r="E10" s="4">
        <f>IF(B10&lt;('2. Inputs and results'!$B$23+1),C10/((1+$P$2)^A10)," ")</f>
        <v>9419.2846434621679</v>
      </c>
      <c r="F10" s="4">
        <f>IF(A10&lt;('2. Inputs and results'!$B$23+1),F9+E10," ")</f>
        <v>51017.883913445708</v>
      </c>
      <c r="G10" s="4">
        <f>IF(A10&lt;('2. Inputs and results'!$B$23+1),G9*(1+'2. Inputs and results'!$B$48)," ")</f>
        <v>14770.980432000002</v>
      </c>
      <c r="H10" s="4">
        <f>IF(A10&lt;('2. Inputs and results'!$B$23+1),H9*(1+'2. Inputs and results'!$B$60)," ")</f>
        <v>0</v>
      </c>
      <c r="I10" s="4">
        <f>IF(A10&lt;('2. Inputs and results'!$B$23+1),I9*(1+'2. Inputs and results'!$B$36)," ")</f>
        <v>-302.99447040000007</v>
      </c>
      <c r="J10" s="4">
        <f>IF(A10&lt;('2. Inputs and results'!$B$23+1),J9*(1+'2. Inputs and results'!$B$70)," ")</f>
        <v>0</v>
      </c>
      <c r="K10" s="4">
        <f>IF('Solution 1, (hidden) (2)'!A10&lt;('2. Inputs and results'!$B$23+1),K9+(G10+I10+H10+J10),NA())</f>
        <v>64601.085321600003</v>
      </c>
      <c r="L10" s="4">
        <f>IF(A10&lt;('2. Inputs and results'!$B$23+1),L9,NA())</f>
        <v>156400</v>
      </c>
      <c r="M10" s="4">
        <f>IF(A10&lt;('2. Inputs and results'!$B$23+1),'2. Inputs and results'!$B$77*'2. Inputs and results'!$B$75," ")</f>
        <v>1840</v>
      </c>
      <c r="N10" s="4">
        <f>IF(A10&lt;('2. Inputs and results'!$B$23+1),M10/((1+$P$2)^A10)," ")</f>
        <v>1512.3458764372069</v>
      </c>
      <c r="O10" s="4">
        <f>IF(A10&lt;('2. Inputs and results'!$B$23+1),'2. Inputs and results'!$B$75*'2. Inputs and results'!$B$77+O9," ")</f>
        <v>163760</v>
      </c>
      <c r="P10" s="4">
        <f>IF(A10&lt;('2. Inputs and results'!$B$23+1),(G10+I10+H10+J10)/((1+$P$2)^A10)," ")</f>
        <v>11891.629842052804</v>
      </c>
      <c r="Q10" s="4">
        <f>IF(A10&lt;('2. Inputs and results'!$B$23+1),Q9+P10," ")</f>
        <v>57256.381628798714</v>
      </c>
      <c r="R10" s="4">
        <f>IF(A10&lt;('2. Inputs and results'!$B$23+1),R9+G10+I10+H10+J10+T10-$V$6,NA())</f>
        <v>-115171.19364928002</v>
      </c>
      <c r="S10" s="4">
        <f>IF(A10&lt;('2. Inputs and results'!$B$23+1),'2. Inputs and results'!$B$81*(R9)," ")</f>
        <v>-2505.8662668800007</v>
      </c>
      <c r="T10" s="4">
        <f t="shared" si="1"/>
        <v>-2505.8662668800007</v>
      </c>
      <c r="U10" s="4">
        <f>IF(A10&lt;('2. Inputs and results'!$B$23+1),U9+(T10+I10+G10+H10+J10-$V$6)/((1+$P$2)^A10),NA())</f>
        <v>-120007.61694236846</v>
      </c>
      <c r="V10" s="4">
        <f>IF(A10&lt;('2. Inputs and results'!$B$23+1),V9+('2. Inputs and results'!$B$77*'2. Inputs and results'!$B$75)," ")</f>
        <v>9200</v>
      </c>
      <c r="W10" s="4">
        <f>IF(A10&lt;('2. Inputs and results'!$B$23+1),W9+C10+Y10-$V$6,NA())</f>
        <v>-122615.37128128001</v>
      </c>
      <c r="X10" s="4">
        <f>IF(A10&lt;('2. Inputs and results'!$B$23+1),'2. Inputs and results'!$B$81*W9," ")</f>
        <v>-2592.8504172800003</v>
      </c>
      <c r="Y10" s="4">
        <f t="shared" si="2"/>
        <v>-2592.8504172800003</v>
      </c>
      <c r="Z10" s="4">
        <f>IF(A10&lt;('2. Inputs and results'!$B$23+1),Z9+(C10-$V$6+Y10)/((1+$P$2)^A10),NA())</f>
        <v>-126366.04098980203</v>
      </c>
      <c r="AA10" s="4">
        <f>IF(A10&lt;('2. Inputs and results'!$B$23+1),AA9+(G10+I10+H10+T10-$V$6)," ")</f>
        <v>41228.806350719999</v>
      </c>
      <c r="AB10" s="11">
        <f>IF(A10&lt;('2. Inputs and results'!$B$23+1),AA10/L10,NA())</f>
        <v>0.26361129380255754</v>
      </c>
      <c r="AC10" s="12">
        <f>IF(A10&lt;('2. Inputs and results'!$B$23+1),AC9+(C10+Y10-$V$6)," ")</f>
        <v>33784.62871872</v>
      </c>
      <c r="AD10" s="11">
        <f>IF(A10&lt;('2. Inputs and results'!$B$23+1),AC10/L10,NA())</f>
        <v>0.21601425011969308</v>
      </c>
      <c r="AE10">
        <f>IF(A10&lt;('2. Inputs and results'!$B$23+1),-'2. Inputs and results'!$B$124*A10," ")</f>
        <v>-102000</v>
      </c>
      <c r="AF10">
        <f>IF(A10&lt;('2. Inputs and results'!$B$23+1),AE10/1000,NA())</f>
        <v>-102</v>
      </c>
    </row>
    <row r="11" spans="1:32">
      <c r="A11">
        <f t="shared" si="0"/>
        <v>6</v>
      </c>
      <c r="B11">
        <f>IF(A11&lt;('2. Inputs and results'!$B$23+1),A11," ")</f>
        <v>6</v>
      </c>
      <c r="C11" s="4">
        <f>IF(A11&lt;('2. Inputs and results'!$B$23+1),'2. Inputs and results'!$B$101+'2. Inputs and results'!$B$103," ")</f>
        <v>11460</v>
      </c>
      <c r="D11" s="4">
        <f>IF(A11&lt;('2. Inputs and results'!$B$23+1),D10+C11,NA())</f>
        <v>68760</v>
      </c>
      <c r="E11" s="4">
        <f>IF(B11&lt;('2. Inputs and results'!$B$23+1),C11/((1+$P$2)^A11)," ")</f>
        <v>9057.0044648674702</v>
      </c>
      <c r="F11" s="4">
        <f>IF(A11&lt;('2. Inputs and results'!$B$23+1),F10+E11," ")</f>
        <v>60074.888378313175</v>
      </c>
      <c r="G11" s="4">
        <f>IF(A11&lt;('2. Inputs and results'!$B$23+1),G10*(1+'2. Inputs and results'!$B$48)," ")</f>
        <v>15657.239257920002</v>
      </c>
      <c r="H11" s="4">
        <f>IF(A11&lt;('2. Inputs and results'!$B$23+1),H10*(1+'2. Inputs and results'!$B$60)," ")</f>
        <v>0</v>
      </c>
      <c r="I11" s="4">
        <f>IF(A11&lt;('2. Inputs and results'!$B$23+1),I10*(1+'2. Inputs and results'!$B$36)," ")</f>
        <v>-321.17413862400008</v>
      </c>
      <c r="J11" s="4">
        <f>IF(A11&lt;('2. Inputs and results'!$B$23+1),J10*(1+'2. Inputs and results'!$B$70)," ")</f>
        <v>0</v>
      </c>
      <c r="K11" s="4">
        <f>IF('Solution 1, (hidden) (2)'!A11&lt;('2. Inputs and results'!$B$23+1),K10+(G11+I11+H11+J11),NA())</f>
        <v>79937.150440896003</v>
      </c>
      <c r="L11" s="4">
        <f>IF(A11&lt;('2. Inputs and results'!$B$23+1),L10,NA())</f>
        <v>156400</v>
      </c>
      <c r="M11" s="4">
        <f>IF(A11&lt;('2. Inputs and results'!$B$23+1),'2. Inputs and results'!$B$77*'2. Inputs and results'!$B$75," ")</f>
        <v>1840</v>
      </c>
      <c r="N11" s="4">
        <f>IF(A11&lt;('2. Inputs and results'!$B$23+1),M11/((1+$P$2)^A11)," ")</f>
        <v>1454.1787273434682</v>
      </c>
      <c r="O11" s="4">
        <f>IF(A11&lt;('2. Inputs and results'!$B$23+1),'2. Inputs and results'!$B$75*'2. Inputs and results'!$B$77+O10," ")</f>
        <v>165600</v>
      </c>
      <c r="P11" s="4">
        <f>IF(A11&lt;('2. Inputs and results'!$B$23+1),(G11+I11+H11+J11)/((1+$P$2)^A11)," ")</f>
        <v>12120.315031323051</v>
      </c>
      <c r="Q11" s="4">
        <f>IF(A11&lt;('2. Inputs and results'!$B$23+1),Q10+P11," ")</f>
        <v>69376.696660121757</v>
      </c>
      <c r="R11" s="4">
        <f>IF(A11&lt;('2. Inputs and results'!$B$23+1),R10+G11+I11+H11+J11+T11-$V$6,NA())</f>
        <v>-103978.55240296962</v>
      </c>
      <c r="S11" s="4">
        <f>IF(A11&lt;('2. Inputs and results'!$B$23+1),'2. Inputs and results'!$B$81*(R10)," ")</f>
        <v>-2303.4238729856002</v>
      </c>
      <c r="T11" s="4">
        <f t="shared" si="1"/>
        <v>-2303.4238729856002</v>
      </c>
      <c r="U11" s="4">
        <f>IF(A11&lt;('2. Inputs and results'!$B$23+1),U10+(T11+I11+G11+H11+J11-$V$6)/((1+$P$2)^A11),NA())</f>
        <v>-111161.90998412299</v>
      </c>
      <c r="V11" s="4">
        <f>IF(A11&lt;('2. Inputs and results'!$B$23+1),V10+('2. Inputs and results'!$B$77*'2. Inputs and results'!$B$75)," ")</f>
        <v>11040</v>
      </c>
      <c r="W11" s="4">
        <f>IF(A11&lt;('2. Inputs and results'!$B$23+1),W10+C11+Y11-$V$6,NA())</f>
        <v>-115447.6787069056</v>
      </c>
      <c r="X11" s="4">
        <f>IF(A11&lt;('2. Inputs and results'!$B$23+1),'2. Inputs and results'!$B$81*W10," ")</f>
        <v>-2452.3074256256</v>
      </c>
      <c r="Y11" s="4">
        <f t="shared" si="2"/>
        <v>-2452.3074256256</v>
      </c>
      <c r="Z11" s="4">
        <f>IF(A11&lt;('2. Inputs and results'!$B$23+1),Z10+(C11-$V$6+Y11)/((1+$P$2)^A11),NA())</f>
        <v>-120701.30943230583</v>
      </c>
      <c r="AA11" s="4">
        <f>IF(A11&lt;('2. Inputs and results'!$B$23+1),AA10+(G11+I11+H11+T11-$V$6)," ")</f>
        <v>52421.447597030405</v>
      </c>
      <c r="AB11" s="11">
        <f>IF(A11&lt;('2. Inputs and results'!$B$23+1),AA11/L11,NA())</f>
        <v>0.33517549614469566</v>
      </c>
      <c r="AC11" s="12">
        <f>IF(A11&lt;('2. Inputs and results'!$B$23+1),AC10+(C11+Y11-$V$6)," ")</f>
        <v>40952.321293094399</v>
      </c>
      <c r="AD11" s="11">
        <f>IF(A11&lt;('2. Inputs and results'!$B$23+1),AC11/L11,NA())</f>
        <v>0.26184348652873657</v>
      </c>
      <c r="AE11">
        <f>IF(A11&lt;('2. Inputs and results'!$B$23+1),-'2. Inputs and results'!$B$124*A11," ")</f>
        <v>-122400</v>
      </c>
      <c r="AF11">
        <f>IF(A11&lt;('2. Inputs and results'!$B$23+1),AE11/1000,NA())</f>
        <v>-122.4</v>
      </c>
    </row>
    <row r="12" spans="1:32">
      <c r="A12">
        <f t="shared" si="0"/>
        <v>7</v>
      </c>
      <c r="B12">
        <f>IF(A12&lt;('2. Inputs and results'!$B$23+1),A12," ")</f>
        <v>7</v>
      </c>
      <c r="C12" s="4">
        <f>IF(A12&lt;('2. Inputs and results'!$B$23+1),'2. Inputs and results'!$B$101+'2. Inputs and results'!$B$103," ")</f>
        <v>11460</v>
      </c>
      <c r="D12" s="4">
        <f>IF(A12&lt;('2. Inputs and results'!$B$23+1),D11+C12,NA())</f>
        <v>80220</v>
      </c>
      <c r="E12" s="4">
        <f>IF(B12&lt;('2. Inputs and results'!$B$23+1),C12/((1+$P$2)^A12)," ")</f>
        <v>8708.658139295645</v>
      </c>
      <c r="F12" s="4">
        <f>IF(A12&lt;('2. Inputs and results'!$B$23+1),F11+E12," ")</f>
        <v>68783.546517608818</v>
      </c>
      <c r="G12" s="4">
        <f>IF(A12&lt;('2. Inputs and results'!$B$23+1),G11*(1+'2. Inputs and results'!$B$48)," ")</f>
        <v>16596.673613395204</v>
      </c>
      <c r="H12" s="4">
        <f>IF(A12&lt;('2. Inputs and results'!$B$23+1),H11*(1+'2. Inputs and results'!$B$60)," ")</f>
        <v>0</v>
      </c>
      <c r="I12" s="4">
        <f>IF(A12&lt;('2. Inputs and results'!$B$23+1),I11*(1+'2. Inputs and results'!$B$36)," ")</f>
        <v>-340.44458694144009</v>
      </c>
      <c r="J12" s="4">
        <f>IF(A12&lt;('2. Inputs and results'!$B$23+1),J11*(1+'2. Inputs and results'!$B$70)," ")</f>
        <v>0</v>
      </c>
      <c r="K12" s="4">
        <f>IF('Solution 1, (hidden) (2)'!A12&lt;('2. Inputs and results'!$B$23+1),K11+(G12+I12+H12+J12),NA())</f>
        <v>96193.379467349761</v>
      </c>
      <c r="L12" s="4">
        <f>IF(A12&lt;('2. Inputs and results'!$B$23+1),L11,NA())</f>
        <v>156400</v>
      </c>
      <c r="M12" s="4">
        <f>IF(A12&lt;('2. Inputs and results'!$B$23+1),'2. Inputs and results'!$B$77*'2. Inputs and results'!$B$75," ")</f>
        <v>1840</v>
      </c>
      <c r="N12" s="4">
        <f>IF(A12&lt;('2. Inputs and results'!$B$23+1),M12/((1+$P$2)^A12)," ")</f>
        <v>1398.2487762917963</v>
      </c>
      <c r="O12" s="4">
        <f>IF(A12&lt;('2. Inputs and results'!$B$23+1),'2. Inputs and results'!$B$75*'2. Inputs and results'!$B$77+O11," ")</f>
        <v>167440</v>
      </c>
      <c r="P12" s="4">
        <f>IF(A12&lt;('2. Inputs and results'!$B$23+1),(G12+I12+H12+J12)/((1+$P$2)^A12)," ")</f>
        <v>12353.39801269465</v>
      </c>
      <c r="Q12" s="4">
        <f>IF(A12&lt;('2. Inputs and results'!$B$23+1),Q11+P12," ")</f>
        <v>81730.094672816413</v>
      </c>
      <c r="R12" s="4">
        <f>IF(A12&lt;('2. Inputs and results'!$B$23+1),R11+G12+I12+H12+J12+T12-$V$6,NA())</f>
        <v>-91641.89442457525</v>
      </c>
      <c r="S12" s="4">
        <f>IF(A12&lt;('2. Inputs and results'!$B$23+1),'2. Inputs and results'!$B$81*(R11)," ")</f>
        <v>-2079.5710480593925</v>
      </c>
      <c r="T12" s="4">
        <f t="shared" si="1"/>
        <v>-2079.5710480593925</v>
      </c>
      <c r="U12" s="4">
        <f>IF(A12&lt;('2. Inputs and results'!$B$23+1),U11+(T12+I12+G12+H12+J12-$V$6)/((1+$P$2)^A12),NA())</f>
        <v>-101787.06383095976</v>
      </c>
      <c r="V12" s="4">
        <f>IF(A12&lt;('2. Inputs and results'!$B$23+1),V11+('2. Inputs and results'!$B$77*'2. Inputs and results'!$B$75)," ")</f>
        <v>12880</v>
      </c>
      <c r="W12" s="4">
        <f>IF(A12&lt;('2. Inputs and results'!$B$23+1),W11+C12+Y12-$V$6,NA())</f>
        <v>-108136.63228104371</v>
      </c>
      <c r="X12" s="4">
        <f>IF(A12&lt;('2. Inputs and results'!$B$23+1),'2. Inputs and results'!$B$81*W11," ")</f>
        <v>-2308.9535741381119</v>
      </c>
      <c r="Y12" s="4">
        <f t="shared" si="2"/>
        <v>-2308.9535741381119</v>
      </c>
      <c r="Z12" s="4">
        <f>IF(A12&lt;('2. Inputs and results'!$B$23+1),Z11+(C12-$V$6+Y12)/((1+$P$2)^A12),NA())</f>
        <v>-115145.51502014611</v>
      </c>
      <c r="AA12" s="4">
        <f>IF(A12&lt;('2. Inputs and results'!$B$23+1),AA11+(G12+I12+H12+T12-$V$6)," ")</f>
        <v>64758.105575424779</v>
      </c>
      <c r="AB12" s="11">
        <f>IF(A12&lt;('2. Inputs and results'!$B$23+1),AA12/L12,NA())</f>
        <v>0.41405438347458301</v>
      </c>
      <c r="AC12" s="12">
        <f>IF(A12&lt;('2. Inputs and results'!$B$23+1),AC11+(C12+Y12-$V$6)," ")</f>
        <v>48263.367718956288</v>
      </c>
      <c r="AD12" s="11">
        <f>IF(A12&lt;('2. Inputs and results'!$B$23+1),AC12/L12,NA())</f>
        <v>0.30858930766596093</v>
      </c>
      <c r="AE12">
        <f>IF(A12&lt;('2. Inputs and results'!$B$23+1),-'2. Inputs and results'!$B$124*A12," ")</f>
        <v>-142800</v>
      </c>
      <c r="AF12">
        <f>IF(A12&lt;('2. Inputs and results'!$B$23+1),AE12/1000,NA())</f>
        <v>-142.80000000000001</v>
      </c>
    </row>
    <row r="13" spans="1:32">
      <c r="A13">
        <f t="shared" si="0"/>
        <v>8</v>
      </c>
      <c r="B13">
        <f>IF(A13&lt;('2. Inputs and results'!$B$23+1),A13," ")</f>
        <v>8</v>
      </c>
      <c r="C13" s="4">
        <f>IF(A13&lt;('2. Inputs and results'!$B$23+1),'2. Inputs and results'!$B$101+'2. Inputs and results'!$B$103," ")</f>
        <v>11460</v>
      </c>
      <c r="D13" s="4">
        <f>IF(A13&lt;('2. Inputs and results'!$B$23+1),D12+C13,NA())</f>
        <v>91680</v>
      </c>
      <c r="E13" s="4">
        <f>IF(B13&lt;('2. Inputs and results'!$B$23+1),C13/((1+$P$2)^A13)," ")</f>
        <v>8373.7097493227338</v>
      </c>
      <c r="F13" s="4">
        <f>IF(A13&lt;('2. Inputs and results'!$B$23+1),F12+E13," ")</f>
        <v>77157.256266931552</v>
      </c>
      <c r="G13" s="4">
        <f>IF(A13&lt;('2. Inputs and results'!$B$23+1),G12*(1+'2. Inputs and results'!$B$48)," ")</f>
        <v>17592.474030198915</v>
      </c>
      <c r="H13" s="4">
        <f>IF(A13&lt;('2. Inputs and results'!$B$23+1),H12*(1+'2. Inputs and results'!$B$60)," ")</f>
        <v>0</v>
      </c>
      <c r="I13" s="4">
        <f>IF(A13&lt;('2. Inputs and results'!$B$23+1),I12*(1+'2. Inputs and results'!$B$36)," ")</f>
        <v>-360.87126215792654</v>
      </c>
      <c r="J13" s="4">
        <f>IF(A13&lt;('2. Inputs and results'!$B$23+1),J12*(1+'2. Inputs and results'!$B$70)," ")</f>
        <v>0</v>
      </c>
      <c r="K13" s="4">
        <f>IF('Solution 1, (hidden) (2)'!A13&lt;('2. Inputs and results'!$B$23+1),K12+(G13+I13+H13+J13),NA())</f>
        <v>113424.98223539075</v>
      </c>
      <c r="L13" s="4">
        <f>IF(A13&lt;('2. Inputs and results'!$B$23+1),L12,NA())</f>
        <v>156400</v>
      </c>
      <c r="M13" s="4">
        <f>IF(A13&lt;('2. Inputs and results'!$B$23+1),'2. Inputs and results'!$B$77*'2. Inputs and results'!$B$75," ")</f>
        <v>1840</v>
      </c>
      <c r="N13" s="4">
        <f>IF(A13&lt;('2. Inputs and results'!$B$23+1),M13/((1+$P$2)^A13)," ")</f>
        <v>1344.4699772036502</v>
      </c>
      <c r="O13" s="4">
        <f>IF(A13&lt;('2. Inputs and results'!$B$23+1),'2. Inputs and results'!$B$75*'2. Inputs and results'!$B$77+O12," ")</f>
        <v>169280</v>
      </c>
      <c r="P13" s="4">
        <f>IF(A13&lt;('2. Inputs and results'!$B$23+1),(G13+I13+H13+J13)/((1+$P$2)^A13)," ")</f>
        <v>12590.963359092622</v>
      </c>
      <c r="Q13" s="4">
        <f>IF(A13&lt;('2. Inputs and results'!$B$23+1),Q12+P13," ")</f>
        <v>94321.058031909037</v>
      </c>
      <c r="R13" s="4">
        <f>IF(A13&lt;('2. Inputs and results'!$B$23+1),R12+G13+I13+H13+J13+T13-$V$6,NA())</f>
        <v>-78083.12954502576</v>
      </c>
      <c r="S13" s="4">
        <f>IF(A13&lt;('2. Inputs and results'!$B$23+1),'2. Inputs and results'!$B$81*(R12)," ")</f>
        <v>-1832.8378884915051</v>
      </c>
      <c r="T13" s="4">
        <f t="shared" si="1"/>
        <v>-1832.8378884915051</v>
      </c>
      <c r="U13" s="4">
        <f>IF(A13&lt;('2. Inputs and results'!$B$23+1),U12+(T13+I13+G13+H13+J13-$V$6)/((1+$P$2)^A13),NA())</f>
        <v>-91879.807141548052</v>
      </c>
      <c r="V13" s="4">
        <f>IF(A13&lt;('2. Inputs and results'!$B$23+1),V12+('2. Inputs and results'!$B$77*'2. Inputs and results'!$B$75)," ")</f>
        <v>14720</v>
      </c>
      <c r="W13" s="4">
        <f>IF(A13&lt;('2. Inputs and results'!$B$23+1),W12+C13+Y13-$V$6,NA())</f>
        <v>-100679.36492666458</v>
      </c>
      <c r="X13" s="4">
        <f>IF(A13&lt;('2. Inputs and results'!$B$23+1),'2. Inputs and results'!$B$81*W12," ")</f>
        <v>-2162.7326456208743</v>
      </c>
      <c r="Y13" s="4">
        <f t="shared" si="2"/>
        <v>-2162.7326456208743</v>
      </c>
      <c r="Z13" s="4">
        <f>IF(A13&lt;('2. Inputs and results'!$B$23+1),Z12+(C13-$V$6+Y13)/((1+$P$2)^A13),NA())</f>
        <v>-109696.56280822022</v>
      </c>
      <c r="AA13" s="4">
        <f>IF(A13&lt;('2. Inputs and results'!$B$23+1),AA12+(G13+I13+H13+T13-$V$6)," ")</f>
        <v>78316.870454974269</v>
      </c>
      <c r="AB13" s="11">
        <f>IF(A13&lt;('2. Inputs and results'!$B$23+1),AA13/L13,NA())</f>
        <v>0.50074725354842886</v>
      </c>
      <c r="AC13" s="12">
        <f>IF(A13&lt;('2. Inputs and results'!$B$23+1),AC12+(C13+Y13-$V$6)," ")</f>
        <v>55720.635073335412</v>
      </c>
      <c r="AD13" s="11">
        <f>IF(A13&lt;('2. Inputs and results'!$B$23+1),AC13/L13,NA())</f>
        <v>0.35627004522592975</v>
      </c>
      <c r="AE13">
        <f>IF(A13&lt;('2. Inputs and results'!$B$23+1),-'2. Inputs and results'!$B$124*A13," ")</f>
        <v>-163200</v>
      </c>
      <c r="AF13">
        <f>IF(A13&lt;('2. Inputs and results'!$B$23+1),AE13/1000,NA())</f>
        <v>-163.19999999999999</v>
      </c>
    </row>
    <row r="14" spans="1:32">
      <c r="A14">
        <f t="shared" si="0"/>
        <v>9</v>
      </c>
      <c r="B14">
        <f>IF(A14&lt;('2. Inputs and results'!$B$23+1),A14," ")</f>
        <v>9</v>
      </c>
      <c r="C14" s="4">
        <f>IF(A14&lt;('2. Inputs and results'!$B$23+1),'2. Inputs and results'!$B$101+'2. Inputs and results'!$B$103," ")</f>
        <v>11460</v>
      </c>
      <c r="D14" s="4">
        <f>IF(A14&lt;('2. Inputs and results'!$B$23+1),D13+C14,NA())</f>
        <v>103140</v>
      </c>
      <c r="E14" s="4">
        <f>IF(B14&lt;('2. Inputs and results'!$B$23+1),C14/((1+$P$2)^A14)," ")</f>
        <v>8051.6439897333976</v>
      </c>
      <c r="F14" s="4">
        <f>IF(A14&lt;('2. Inputs and results'!$B$23+1),F13+E14," ")</f>
        <v>85208.900256664943</v>
      </c>
      <c r="G14" s="4">
        <f>IF(A14&lt;('2. Inputs and results'!$B$23+1),G13*(1+'2. Inputs and results'!$B$48)," ")</f>
        <v>18648.022472010849</v>
      </c>
      <c r="H14" s="4">
        <f>IF(A14&lt;('2. Inputs and results'!$B$23+1),H13*(1+'2. Inputs and results'!$B$60)," ")</f>
        <v>0</v>
      </c>
      <c r="I14" s="4">
        <f>IF(A14&lt;('2. Inputs and results'!$B$23+1),I13*(1+'2. Inputs and results'!$B$36)," ")</f>
        <v>-382.52353788740214</v>
      </c>
      <c r="J14" s="4">
        <f>IF(A14&lt;('2. Inputs and results'!$B$23+1),J13*(1+'2. Inputs and results'!$B$70)," ")</f>
        <v>0</v>
      </c>
      <c r="K14" s="4">
        <f>IF('Solution 1, (hidden) (2)'!A14&lt;('2. Inputs and results'!$B$23+1),K13+(G14+I14+H14+J14),NA())</f>
        <v>131690.48116951418</v>
      </c>
      <c r="L14" s="4">
        <f>IF(A14&lt;('2. Inputs and results'!$B$23+1),L13,NA())</f>
        <v>156400</v>
      </c>
      <c r="M14" s="4">
        <f>IF(A14&lt;('2. Inputs and results'!$B$23+1),'2. Inputs and results'!$B$77*'2. Inputs and results'!$B$75," ")</f>
        <v>1840</v>
      </c>
      <c r="N14" s="4">
        <f>IF(A14&lt;('2. Inputs and results'!$B$23+1),M14/((1+$P$2)^A14)," ")</f>
        <v>1292.7595934650481</v>
      </c>
      <c r="O14" s="4">
        <f>IF(A14&lt;('2. Inputs and results'!$B$23+1),'2. Inputs and results'!$B$75*'2. Inputs and results'!$B$77+O13," ")</f>
        <v>171120</v>
      </c>
      <c r="P14" s="4">
        <f>IF(A14&lt;('2. Inputs and results'!$B$23+1),(G14+I14+H14+J14)/((1+$P$2)^A14)," ")</f>
        <v>12833.0972698444</v>
      </c>
      <c r="Q14" s="4">
        <f>IF(A14&lt;('2. Inputs and results'!$B$23+1),Q13+P14," ")</f>
        <v>107154.15530175343</v>
      </c>
      <c r="R14" s="4">
        <f>IF(A14&lt;('2. Inputs and results'!$B$23+1),R13+G14+I14+H14+J14+T14-$V$6,NA())</f>
        <v>-63219.293201802822</v>
      </c>
      <c r="S14" s="4">
        <f>IF(A14&lt;('2. Inputs and results'!$B$23+1),'2. Inputs and results'!$B$81*(R13)," ")</f>
        <v>-1561.6625909005152</v>
      </c>
      <c r="T14" s="4">
        <f t="shared" si="1"/>
        <v>-1561.6625909005152</v>
      </c>
      <c r="U14" s="4">
        <f>IF(A14&lt;('2. Inputs and results'!$B$23+1),U13+(T14+I14+G14+H14+J14-$V$6)/((1+$P$2)^A14),NA())</f>
        <v>-81436.672886985078</v>
      </c>
      <c r="V14" s="4">
        <f>IF(A14&lt;('2. Inputs and results'!$B$23+1),V13+('2. Inputs and results'!$B$77*'2. Inputs and results'!$B$75)," ")</f>
        <v>16560</v>
      </c>
      <c r="W14" s="4">
        <f>IF(A14&lt;('2. Inputs and results'!$B$23+1),W13+C14+Y14-$V$6,NA())</f>
        <v>-93072.952225197878</v>
      </c>
      <c r="X14" s="4">
        <f>IF(A14&lt;('2. Inputs and results'!$B$23+1),'2. Inputs and results'!$B$81*W13," ")</f>
        <v>-2013.5872985332917</v>
      </c>
      <c r="Y14" s="4">
        <f t="shared" si="2"/>
        <v>-2013.5872985332917</v>
      </c>
      <c r="Z14" s="4">
        <f>IF(A14&lt;('2. Inputs and results'!$B$23+1),Z13+(C14-$V$6+Y14)/((1+$P$2)^A14),NA())</f>
        <v>-104352.39813883137</v>
      </c>
      <c r="AA14" s="4">
        <f>IF(A14&lt;('2. Inputs and results'!$B$23+1),AA13+(G14+I14+H14+T14-$V$6)," ")</f>
        <v>93180.706798197207</v>
      </c>
      <c r="AB14" s="11">
        <f>IF(A14&lt;('2. Inputs and results'!$B$23+1),AA14/L14,NA())</f>
        <v>0.595784570320954</v>
      </c>
      <c r="AC14" s="12">
        <f>IF(A14&lt;('2. Inputs and results'!$B$23+1),AC13+(C14+Y14-$V$6)," ")</f>
        <v>63327.047774802122</v>
      </c>
      <c r="AD14" s="11">
        <f>IF(A14&lt;('2. Inputs and results'!$B$23+1),AC14/L14,NA())</f>
        <v>0.40490439753709795</v>
      </c>
      <c r="AE14">
        <f>IF(A14&lt;('2. Inputs and results'!$B$23+1),-'2. Inputs and results'!$B$124*A14," ")</f>
        <v>-183600</v>
      </c>
      <c r="AF14">
        <f>IF(A14&lt;('2. Inputs and results'!$B$23+1),AE14/1000,NA())</f>
        <v>-183.6</v>
      </c>
    </row>
    <row r="15" spans="1:32">
      <c r="A15">
        <f t="shared" si="0"/>
        <v>10</v>
      </c>
      <c r="B15">
        <f>IF(A15&lt;('2. Inputs and results'!$B$23+1),A15," ")</f>
        <v>10</v>
      </c>
      <c r="C15" s="4">
        <f>IF(A15&lt;('2. Inputs and results'!$B$23+1),'2. Inputs and results'!$B$101+'2. Inputs and results'!$B$103," ")</f>
        <v>11460</v>
      </c>
      <c r="D15" s="4">
        <f>IF(A15&lt;('2. Inputs and results'!$B$23+1),D14+C15,NA())</f>
        <v>114600</v>
      </c>
      <c r="E15" s="4">
        <f>IF(B15&lt;('2. Inputs and results'!$B$23+1),C15/((1+$P$2)^A15)," ")</f>
        <v>7741.9653747436514</v>
      </c>
      <c r="F15" s="4">
        <f>IF(A15&lt;('2. Inputs and results'!$B$23+1),F14+E15," ")</f>
        <v>92950.865631408597</v>
      </c>
      <c r="G15" s="4">
        <f>IF(A15&lt;('2. Inputs and results'!$B$23+1),G14*(1+'2. Inputs and results'!$B$48)," ")</f>
        <v>19766.903820331499</v>
      </c>
      <c r="H15" s="4">
        <f>IF(A15&lt;('2. Inputs and results'!$B$23+1),H14*(1+'2. Inputs and results'!$B$60)," ")</f>
        <v>0</v>
      </c>
      <c r="I15" s="4">
        <f>IF(A15&lt;('2. Inputs and results'!$B$23+1),I14*(1+'2. Inputs and results'!$B$36)," ")</f>
        <v>-405.4749501606463</v>
      </c>
      <c r="J15" s="4">
        <f>IF(A15&lt;('2. Inputs and results'!$B$23+1),J14*(1+'2. Inputs and results'!$B$70)," ")</f>
        <v>0</v>
      </c>
      <c r="K15" s="4">
        <f>IF('Solution 1, (hidden) (2)'!A15&lt;('2. Inputs and results'!$B$23+1),K14+(G15+I15+H15+J15),NA())</f>
        <v>151051.91003968503</v>
      </c>
      <c r="L15" s="4">
        <f>IF(A15&lt;('2. Inputs and results'!$B$23+1),L14,NA())</f>
        <v>156400</v>
      </c>
      <c r="M15" s="4">
        <f>IF(A15&lt;('2. Inputs and results'!$B$23+1),'2. Inputs and results'!$B$77*'2. Inputs and results'!$B$75," ")</f>
        <v>1840</v>
      </c>
      <c r="N15" s="4">
        <f>IF(A15&lt;('2. Inputs and results'!$B$23+1),M15/((1+$P$2)^A15)," ")</f>
        <v>1243.0380706394694</v>
      </c>
      <c r="O15" s="4">
        <f>IF(A15&lt;('2. Inputs and results'!$B$23+1),'2. Inputs and results'!$B$75*'2. Inputs and results'!$B$77+O14," ")</f>
        <v>172960</v>
      </c>
      <c r="P15" s="4">
        <f>IF(A15&lt;('2. Inputs and results'!$B$23+1),(G15+I15+H15+J15)/((1+$P$2)^A15)," ")</f>
        <v>13079.887601956792</v>
      </c>
      <c r="Q15" s="4">
        <f>IF(A15&lt;('2. Inputs and results'!$B$23+1),Q14+P15," ")</f>
        <v>120234.04290371023</v>
      </c>
      <c r="R15" s="4">
        <f>IF(A15&lt;('2. Inputs and results'!$B$23+1),R14+G15+I15+H15+J15+T15-$V$6,NA())</f>
        <v>-46962.250195668028</v>
      </c>
      <c r="S15" s="4">
        <f>IF(A15&lt;('2. Inputs and results'!$B$23+1),'2. Inputs and results'!$B$81*(R14)," ")</f>
        <v>-1264.3858640360565</v>
      </c>
      <c r="T15" s="4">
        <f t="shared" si="1"/>
        <v>-1264.3858640360565</v>
      </c>
      <c r="U15" s="4">
        <f>IF(A15&lt;('2. Inputs and results'!$B$23+1),U14+(T15+I15+G15+H15+J15-$V$6)/((1+$P$2)^A15),NA())</f>
        <v>-70453.997140980355</v>
      </c>
      <c r="V15" s="4">
        <f>IF(A15&lt;('2. Inputs and results'!$B$23+1),V14+('2. Inputs and results'!$B$77*'2. Inputs and results'!$B$75)," ")</f>
        <v>18400</v>
      </c>
      <c r="W15" s="4">
        <f>IF(A15&lt;('2. Inputs and results'!$B$23+1),W14+C15+Y15-$V$6,NA())</f>
        <v>-85314.411269701843</v>
      </c>
      <c r="X15" s="4">
        <f>IF(A15&lt;('2. Inputs and results'!$B$23+1),'2. Inputs and results'!$B$81*W14," ")</f>
        <v>-1861.4590445039576</v>
      </c>
      <c r="Y15" s="4">
        <f t="shared" si="2"/>
        <v>-1861.4590445039576</v>
      </c>
      <c r="Z15" s="4">
        <f>IF(A15&lt;('2. Inputs and results'!$B$23+1),Z14+(C15-$V$6+Y15)/((1+$P$2)^A15),NA())</f>
        <v>-99111.005866930762</v>
      </c>
      <c r="AA15" s="4">
        <f>IF(A15&lt;('2. Inputs and results'!$B$23+1),AA14+(G15+I15+H15+T15-$V$6)," ")</f>
        <v>109437.74980433201</v>
      </c>
      <c r="AB15" s="11">
        <f>IF(A15&lt;('2. Inputs and results'!$B$23+1),AA15/L15,NA())</f>
        <v>0.69972985808396426</v>
      </c>
      <c r="AC15" s="12">
        <f>IF(A15&lt;('2. Inputs and results'!$B$23+1),AC14+(C15+Y15-$V$6)," ")</f>
        <v>71085.588730298157</v>
      </c>
      <c r="AD15" s="11">
        <f>IF(A15&lt;('2. Inputs and results'!$B$23+1),AC15/L15,NA())</f>
        <v>0.45451143689448947</v>
      </c>
      <c r="AE15">
        <f>IF(A15&lt;('2. Inputs and results'!$B$23+1),-'2. Inputs and results'!$B$124*A15," ")</f>
        <v>-204000</v>
      </c>
      <c r="AF15">
        <f>IF(A15&lt;('2. Inputs and results'!$B$23+1),AE15/1000,NA())</f>
        <v>-204</v>
      </c>
    </row>
    <row r="16" spans="1:32">
      <c r="A16">
        <f t="shared" si="0"/>
        <v>11</v>
      </c>
      <c r="B16">
        <f>IF(A16&lt;('2. Inputs and results'!$B$23+1),A16," ")</f>
        <v>11</v>
      </c>
      <c r="C16" s="4">
        <f>IF(A16&lt;('2. Inputs and results'!$B$23+1),'2. Inputs and results'!$B$101+'2. Inputs and results'!$B$103," ")</f>
        <v>11460</v>
      </c>
      <c r="D16" s="4">
        <f>IF(A16&lt;('2. Inputs and results'!$B$23+1),D15+C16,NA())</f>
        <v>126060</v>
      </c>
      <c r="E16" s="4">
        <f>IF(B16&lt;('2. Inputs and results'!$B$23+1),C16/((1+$P$2)^A16)," ")</f>
        <v>7444.1974757150501</v>
      </c>
      <c r="F16" s="4">
        <f>IF(A16&lt;('2. Inputs and results'!$B$23+1),F15+E16," ")</f>
        <v>100395.06310712364</v>
      </c>
      <c r="G16" s="4">
        <f>IF(A16&lt;('2. Inputs and results'!$B$23+1),G15*(1+'2. Inputs and results'!$B$48)," ")</f>
        <v>20952.91804955139</v>
      </c>
      <c r="H16" s="4">
        <f>IF(A16&lt;('2. Inputs and results'!$B$23+1),H15*(1+'2. Inputs and results'!$B$60)," ")</f>
        <v>0</v>
      </c>
      <c r="I16" s="4">
        <f>IF(A16&lt;('2. Inputs and results'!$B$23+1),I15*(1+'2. Inputs and results'!$B$36)," ")</f>
        <v>-429.8034471702851</v>
      </c>
      <c r="J16" s="4">
        <f>IF(A16&lt;('2. Inputs and results'!$B$23+1),J15*(1+'2. Inputs and results'!$B$70)," ")</f>
        <v>0</v>
      </c>
      <c r="K16" s="4">
        <f>IF('Solution 1, (hidden) (2)'!A16&lt;('2. Inputs and results'!$B$23+1),K15+(G16+I16+H16+J16),NA())</f>
        <v>171575.02464206613</v>
      </c>
      <c r="L16" s="4">
        <f>IF(A16&lt;('2. Inputs and results'!$B$23+1),L15,NA())</f>
        <v>156400</v>
      </c>
      <c r="M16" s="4">
        <f>IF(A16&lt;('2. Inputs and results'!$B$23+1),'2. Inputs and results'!$B$77*'2. Inputs and results'!$B$75," ")</f>
        <v>1840</v>
      </c>
      <c r="N16" s="4">
        <f>IF(A16&lt;('2. Inputs and results'!$B$23+1),M16/((1+$P$2)^A16)," ")</f>
        <v>1195.2289140764128</v>
      </c>
      <c r="O16" s="4">
        <f>IF(A16&lt;('2. Inputs and results'!$B$23+1),'2. Inputs and results'!$B$75*'2. Inputs and results'!$B$77+O15," ")</f>
        <v>174800</v>
      </c>
      <c r="P16" s="4">
        <f>IF(A16&lt;('2. Inputs and results'!$B$23+1),(G16+I16+H16+J16)/((1+$P$2)^A16)," ")</f>
        <v>13331.423901994425</v>
      </c>
      <c r="Q16" s="4">
        <f>IF(A16&lt;('2. Inputs and results'!$B$23+1),Q15+P16," ")</f>
        <v>133565.46680570467</v>
      </c>
      <c r="R16" s="4">
        <f>IF(A16&lt;('2. Inputs and results'!$B$23+1),R15+G16+I16+H16+J16+T16-$V$6,NA())</f>
        <v>-29218.380597200285</v>
      </c>
      <c r="S16" s="4">
        <f>IF(A16&lt;('2. Inputs and results'!$B$23+1),'2. Inputs and results'!$B$81*(R15)," ")</f>
        <v>-939.24500391336062</v>
      </c>
      <c r="T16" s="4">
        <f t="shared" si="1"/>
        <v>-939.24500391336062</v>
      </c>
      <c r="U16" s="4">
        <f>IF(A16&lt;('2. Inputs and results'!$B$23+1),U15+(T16+I16+G16+H16+J16-$V$6)/((1+$P$2)^A16),NA())</f>
        <v>-58927.917797670532</v>
      </c>
      <c r="V16" s="4">
        <f>IF(A16&lt;('2. Inputs and results'!$B$23+1),V15+('2. Inputs and results'!$B$77*'2. Inputs and results'!$B$75)," ")</f>
        <v>20240</v>
      </c>
      <c r="W16" s="4">
        <f>IF(A16&lt;('2. Inputs and results'!$B$23+1),W15+C16+Y16-$V$6,NA())</f>
        <v>-77400.699495095876</v>
      </c>
      <c r="X16" s="4">
        <f>IF(A16&lt;('2. Inputs and results'!$B$23+1),'2. Inputs and results'!$B$81*W15," ")</f>
        <v>-1706.288225394037</v>
      </c>
      <c r="Y16" s="4">
        <f t="shared" si="2"/>
        <v>-1706.288225394037</v>
      </c>
      <c r="Z16" s="4">
        <f>IF(A16&lt;('2. Inputs and results'!$B$23+1),Z15+(C16-$V$6+Y16)/((1+$P$2)^A16),NA())</f>
        <v>-93970.409600259023</v>
      </c>
      <c r="AA16" s="4">
        <f>IF(A16&lt;('2. Inputs and results'!$B$23+1),AA15+(G16+I16+H16+T16-$V$6)," ")</f>
        <v>127181.61940279976</v>
      </c>
      <c r="AB16" s="11">
        <f>IF(A16&lt;('2. Inputs and results'!$B$23+1),AA16/L16,NA())</f>
        <v>0.81318170973657133</v>
      </c>
      <c r="AC16" s="12">
        <f>IF(A16&lt;('2. Inputs and results'!$B$23+1),AC15+(C16+Y16-$V$6)," ")</f>
        <v>78999.300504904124</v>
      </c>
      <c r="AD16" s="11">
        <f>IF(A16&lt;('2. Inputs and results'!$B$23+1),AC16/L16,NA())</f>
        <v>0.50511061703902893</v>
      </c>
      <c r="AE16">
        <f>IF(A16&lt;('2. Inputs and results'!$B$23+1),-'2. Inputs and results'!$B$124*A16," ")</f>
        <v>-224400</v>
      </c>
      <c r="AF16">
        <f>IF(A16&lt;('2. Inputs and results'!$B$23+1),AE16/1000,NA())</f>
        <v>-224.4</v>
      </c>
    </row>
    <row r="17" spans="1:32">
      <c r="A17">
        <f t="shared" si="0"/>
        <v>12</v>
      </c>
      <c r="B17">
        <f>IF(A17&lt;('2. Inputs and results'!$B$23+1),A17," ")</f>
        <v>12</v>
      </c>
      <c r="C17" s="4">
        <f>IF(A17&lt;('2. Inputs and results'!$B$23+1),'2. Inputs and results'!$B$101+'2. Inputs and results'!$B$103," ")</f>
        <v>11460</v>
      </c>
      <c r="D17" s="4">
        <f>IF(A17&lt;('2. Inputs and results'!$B$23+1),D16+C17,NA())</f>
        <v>137520</v>
      </c>
      <c r="E17" s="4">
        <f>IF(B17&lt;('2. Inputs and results'!$B$23+1),C17/((1+$P$2)^A17)," ")</f>
        <v>7157.8821881875465</v>
      </c>
      <c r="F17" s="4">
        <f>IF(A17&lt;('2. Inputs and results'!$B$23+1),F16+E17," ")</f>
        <v>107552.94529531119</v>
      </c>
      <c r="G17" s="4">
        <f>IF(A17&lt;('2. Inputs and results'!$B$23+1),G16*(1+'2. Inputs and results'!$B$48)," ")</f>
        <v>22210.093132524475</v>
      </c>
      <c r="H17" s="4">
        <f>IF(A17&lt;('2. Inputs and results'!$B$23+1),H16*(1+'2. Inputs and results'!$B$60)," ")</f>
        <v>0</v>
      </c>
      <c r="I17" s="4">
        <f>IF(A17&lt;('2. Inputs and results'!$B$23+1),I16*(1+'2. Inputs and results'!$B$36)," ")</f>
        <v>-455.59165400050222</v>
      </c>
      <c r="J17" s="4">
        <f>IF(A17&lt;('2. Inputs and results'!$B$23+1),J16*(1+'2. Inputs and results'!$B$70)," ")</f>
        <v>0</v>
      </c>
      <c r="K17" s="4">
        <f>IF('Solution 1, (hidden) (2)'!A17&lt;('2. Inputs and results'!$B$23+1),K16+(G17+I17+H17+J17),NA())</f>
        <v>193329.5261205901</v>
      </c>
      <c r="L17" s="4">
        <f>IF(A17&lt;('2. Inputs and results'!$B$23+1),L16,NA())</f>
        <v>156400</v>
      </c>
      <c r="M17" s="4">
        <f>IF(A17&lt;('2. Inputs and results'!$B$23+1),'2. Inputs and results'!$B$77*'2. Inputs and results'!$B$75," ")</f>
        <v>1840</v>
      </c>
      <c r="N17" s="4">
        <f>IF(A17&lt;('2. Inputs and results'!$B$23+1),M17/((1+$P$2)^A17)," ")</f>
        <v>1149.2585712273199</v>
      </c>
      <c r="O17" s="4">
        <f>IF(A17&lt;('2. Inputs and results'!$B$23+1),'2. Inputs and results'!$B$75*'2. Inputs and results'!$B$77+O16," ")</f>
        <v>176640</v>
      </c>
      <c r="P17" s="4">
        <f>IF(A17&lt;('2. Inputs and results'!$B$23+1),(G17+I17+H17+J17)/((1+$P$2)^A17)," ")</f>
        <v>13587.797438571239</v>
      </c>
      <c r="Q17" s="4">
        <f>IF(A17&lt;('2. Inputs and results'!$B$23+1),Q16+P17," ")</f>
        <v>147153.2642442759</v>
      </c>
      <c r="R17" s="4">
        <f>IF(A17&lt;('2. Inputs and results'!$B$23+1),R16+G17+I17+H17+J17+T17-$V$6,NA())</f>
        <v>-9888.246730620318</v>
      </c>
      <c r="S17" s="4">
        <f>IF(A17&lt;('2. Inputs and results'!$B$23+1),'2. Inputs and results'!$B$81*(R16)," ")</f>
        <v>-584.36761194400572</v>
      </c>
      <c r="T17" s="4">
        <f t="shared" si="1"/>
        <v>-584.36761194400572</v>
      </c>
      <c r="U17" s="4">
        <f>IF(A17&lt;('2. Inputs and results'!$B$23+1),U16+(T17+I17+G17+H17+J17-$V$6)/((1+$P$2)^A17),NA())</f>
        <v>-46854.373216616987</v>
      </c>
      <c r="V17" s="4">
        <f>IF(A17&lt;('2. Inputs and results'!$B$23+1),V16+('2. Inputs and results'!$B$77*'2. Inputs and results'!$B$75)," ")</f>
        <v>22080</v>
      </c>
      <c r="W17" s="4">
        <f>IF(A17&lt;('2. Inputs and results'!$B$23+1),W16+C17+Y17-$V$6,NA())</f>
        <v>-69328.713484997788</v>
      </c>
      <c r="X17" s="4">
        <f>IF(A17&lt;('2. Inputs and results'!$B$23+1),'2. Inputs and results'!$B$81*W16," ")</f>
        <v>-1548.0139899019175</v>
      </c>
      <c r="Y17" s="4">
        <f t="shared" si="2"/>
        <v>-1548.0139899019175</v>
      </c>
      <c r="Z17" s="4">
        <f>IF(A17&lt;('2. Inputs and results'!$B$23+1),Z16+(C17-$V$6+Y17)/((1+$P$2)^A17),NA())</f>
        <v>-88928.670954100206</v>
      </c>
      <c r="AA17" s="4">
        <f>IF(A17&lt;('2. Inputs and results'!$B$23+1),AA16+(G17+I17+H17+T17-$V$6)," ")</f>
        <v>146511.75326937973</v>
      </c>
      <c r="AB17" s="11">
        <f>IF(A17&lt;('2. Inputs and results'!$B$23+1),AA17/L17,NA())</f>
        <v>0.9367759160446274</v>
      </c>
      <c r="AC17" s="12">
        <f>IF(A17&lt;('2. Inputs and results'!$B$23+1),AC16+(C17+Y17-$V$6)," ")</f>
        <v>87071.286515002212</v>
      </c>
      <c r="AD17" s="11">
        <f>IF(A17&lt;('2. Inputs and results'!$B$23+1),AC17/L17,NA())</f>
        <v>0.55672178078645917</v>
      </c>
      <c r="AE17">
        <f>IF(A17&lt;('2. Inputs and results'!$B$23+1),-'2. Inputs and results'!$B$124*A17," ")</f>
        <v>-244800</v>
      </c>
      <c r="AF17">
        <f>IF(A17&lt;('2. Inputs and results'!$B$23+1),AE17/1000,NA())</f>
        <v>-244.8</v>
      </c>
    </row>
    <row r="18" spans="1:32">
      <c r="A18">
        <f t="shared" si="0"/>
        <v>13</v>
      </c>
      <c r="B18">
        <f>IF(A18&lt;('2. Inputs and results'!$B$23+1),A18," ")</f>
        <v>13</v>
      </c>
      <c r="C18" s="4">
        <f>IF(A18&lt;('2. Inputs and results'!$B$23+1),'2. Inputs and results'!$B$101+'2. Inputs and results'!$B$103," ")</f>
        <v>11460</v>
      </c>
      <c r="D18" s="4">
        <f>IF(A18&lt;('2. Inputs and results'!$B$23+1),D17+C18,NA())</f>
        <v>148980</v>
      </c>
      <c r="E18" s="4">
        <f>IF(B18&lt;('2. Inputs and results'!$B$23+1),C18/((1+$P$2)^A18)," ")</f>
        <v>6882.5790271034102</v>
      </c>
      <c r="F18" s="4">
        <f>IF(A18&lt;('2. Inputs and results'!$B$23+1),F17+E18," ")</f>
        <v>114435.5243224146</v>
      </c>
      <c r="G18" s="4">
        <f>IF(A18&lt;('2. Inputs and results'!$B$23+1),G17*(1+'2. Inputs and results'!$B$48)," ")</f>
        <v>23542.698720475943</v>
      </c>
      <c r="H18" s="4">
        <f>IF(A18&lt;('2. Inputs and results'!$B$23+1),H17*(1+'2. Inputs and results'!$B$60)," ")</f>
        <v>0</v>
      </c>
      <c r="I18" s="4">
        <f>IF(A18&lt;('2. Inputs and results'!$B$23+1),I17*(1+'2. Inputs and results'!$B$36)," ")</f>
        <v>-482.92715324053239</v>
      </c>
      <c r="J18" s="4">
        <f>IF(A18&lt;('2. Inputs and results'!$B$23+1),J17*(1+'2. Inputs and results'!$B$70)," ")</f>
        <v>0</v>
      </c>
      <c r="K18" s="4">
        <f>IF('Solution 1, (hidden) (2)'!A18&lt;('2. Inputs and results'!$B$23+1),K17+(G18+I18+H18+J18),NA())</f>
        <v>216389.29768782551</v>
      </c>
      <c r="L18" s="4">
        <f>IF(A18&lt;('2. Inputs and results'!$B$23+1),L17,NA())</f>
        <v>156400</v>
      </c>
      <c r="M18" s="4">
        <f>IF(A18&lt;('2. Inputs and results'!$B$23+1),'2. Inputs and results'!$B$77*'2. Inputs and results'!$B$75," ")</f>
        <v>1840</v>
      </c>
      <c r="N18" s="4">
        <f>IF(A18&lt;('2. Inputs and results'!$B$23+1),M18/((1+$P$2)^A18)," ")</f>
        <v>1105.0563184878076</v>
      </c>
      <c r="O18" s="4">
        <f>IF(A18&lt;('2. Inputs and results'!$B$23+1),'2. Inputs and results'!$B$75*'2. Inputs and results'!$B$77+O17," ")</f>
        <v>178480</v>
      </c>
      <c r="P18" s="4">
        <f>IF(A18&lt;('2. Inputs and results'!$B$23+1),(G18+I18+H18+J18)/((1+$P$2)^A18)," ")</f>
        <v>13849.101235466838</v>
      </c>
      <c r="Q18" s="4">
        <f>IF(A18&lt;('2. Inputs and results'!$B$23+1),Q17+P18," ")</f>
        <v>161002.36547974273</v>
      </c>
      <c r="R18" s="4">
        <f>IF(A18&lt;('2. Inputs and results'!$B$23+1),R17+G18+I18+H18+J18+T18-$V$6,NA())</f>
        <v>11133.759902002685</v>
      </c>
      <c r="S18" s="4">
        <f>IF(A18&lt;('2. Inputs and results'!$B$23+1),'2. Inputs and results'!$B$81*(R17)," ")</f>
        <v>-197.76493461240636</v>
      </c>
      <c r="T18" s="4">
        <f t="shared" si="1"/>
        <v>-197.76493461240636</v>
      </c>
      <c r="U18" s="4">
        <f>IF(A18&lt;('2. Inputs and results'!$B$23+1),U17+(T18+I18+G18+H18+J18-$V$6)/((1+$P$2)^A18),NA())</f>
        <v>-34229.100794512284</v>
      </c>
      <c r="V18" s="4">
        <f>IF(A18&lt;('2. Inputs and results'!$B$23+1),V17+('2. Inputs and results'!$B$77*'2. Inputs and results'!$B$75)," ")</f>
        <v>23920</v>
      </c>
      <c r="W18" s="4">
        <f>IF(A18&lt;('2. Inputs and results'!$B$23+1),W17+C18+Y18-$V$6,NA())</f>
        <v>-61095.287754697747</v>
      </c>
      <c r="X18" s="4">
        <f>IF(A18&lt;('2. Inputs and results'!$B$23+1),'2. Inputs and results'!$B$81*W17," ")</f>
        <v>-1386.5742696999557</v>
      </c>
      <c r="Y18" s="4">
        <f t="shared" si="2"/>
        <v>-1386.5742696999557</v>
      </c>
      <c r="Z18" s="4">
        <f>IF(A18&lt;('2. Inputs and results'!$B$23+1),Z17+(C18-$V$6+Y18)/((1+$P$2)^A18),NA())</f>
        <v>-83983.888820367516</v>
      </c>
      <c r="AA18" s="4">
        <f>IF(A18&lt;('2. Inputs and results'!$B$23+1),AA17+(G18+I18+H18+T18-$V$6)," ")</f>
        <v>167533.75990200273</v>
      </c>
      <c r="AB18" s="11">
        <f>IF(A18&lt;('2. Inputs and results'!$B$23+1),AA18/L18,NA())</f>
        <v>1.0711877231585851</v>
      </c>
      <c r="AC18" s="12">
        <f>IF(A18&lt;('2. Inputs and results'!$B$23+1),AC17+(C18+Y18-$V$6)," ")</f>
        <v>95304.71224530226</v>
      </c>
      <c r="AD18" s="11">
        <f>IF(A18&lt;('2. Inputs and results'!$B$23+1),AC18/L18,NA())</f>
        <v>0.60936516780883798</v>
      </c>
      <c r="AE18">
        <f>IF(A18&lt;('2. Inputs and results'!$B$23+1),-'2. Inputs and results'!$B$124*A18," ")</f>
        <v>-265200</v>
      </c>
      <c r="AF18">
        <f>IF(A18&lt;('2. Inputs and results'!$B$23+1),AE18/1000,NA())</f>
        <v>-265.2</v>
      </c>
    </row>
    <row r="19" spans="1:32">
      <c r="A19">
        <f t="shared" si="0"/>
        <v>14</v>
      </c>
      <c r="B19">
        <f>IF(A19&lt;('2. Inputs and results'!$B$23+1),A19," ")</f>
        <v>14</v>
      </c>
      <c r="C19" s="4">
        <f>IF(A19&lt;('2. Inputs and results'!$B$23+1),'2. Inputs and results'!$B$101+'2. Inputs and results'!$B$103," ")</f>
        <v>11460</v>
      </c>
      <c r="D19" s="4">
        <f>IF(A19&lt;('2. Inputs and results'!$B$23+1),D18+C19,NA())</f>
        <v>160440</v>
      </c>
      <c r="E19" s="4">
        <f>IF(B19&lt;('2. Inputs and results'!$B$23+1),C19/((1+$P$2)^A19)," ")</f>
        <v>6617.8644491378946</v>
      </c>
      <c r="F19" s="4">
        <f>IF(A19&lt;('2. Inputs and results'!$B$23+1),F18+E19," ")</f>
        <v>121053.38877155249</v>
      </c>
      <c r="G19" s="4">
        <f>IF(A19&lt;('2. Inputs and results'!$B$23+1),G18*(1+'2. Inputs and results'!$B$48)," ")</f>
        <v>24955.2606437045</v>
      </c>
      <c r="H19" s="4">
        <f>IF(A19&lt;('2. Inputs and results'!$B$23+1),H18*(1+'2. Inputs and results'!$B$60)," ")</f>
        <v>0</v>
      </c>
      <c r="I19" s="4">
        <f>IF(A19&lt;('2. Inputs and results'!$B$23+1),I18*(1+'2. Inputs and results'!$B$36)," ")</f>
        <v>-511.90278243496437</v>
      </c>
      <c r="J19" s="4">
        <f>IF(A19&lt;('2. Inputs and results'!$B$23+1),J18*(1+'2. Inputs and results'!$B$70)," ")</f>
        <v>0</v>
      </c>
      <c r="K19" s="4">
        <f>IF('Solution 1, (hidden) (2)'!A19&lt;('2. Inputs and results'!$B$23+1),K18+(G19+I19+H19+J19),NA())</f>
        <v>240832.65554909504</v>
      </c>
      <c r="L19" s="4">
        <f>IF(A19&lt;('2. Inputs and results'!$B$23+1),L18,NA())</f>
        <v>156400</v>
      </c>
      <c r="M19" s="4">
        <f>IF(A19&lt;('2. Inputs and results'!$B$23+1),'2. Inputs and results'!$B$77*'2. Inputs and results'!$B$75," ")</f>
        <v>1840</v>
      </c>
      <c r="N19" s="4">
        <f>IF(A19&lt;('2. Inputs and results'!$B$23+1),M19/((1+$P$2)^A19)," ")</f>
        <v>1062.5541523921227</v>
      </c>
      <c r="O19" s="4">
        <f>IF(A19&lt;('2. Inputs and results'!$B$23+1),'2. Inputs and results'!$B$75*'2. Inputs and results'!$B$77+O18," ")</f>
        <v>180320</v>
      </c>
      <c r="P19" s="4">
        <f>IF(A19&lt;('2. Inputs and results'!$B$23+1),(G19+I19+H19+J19)/((1+$P$2)^A19)," ")</f>
        <v>14115.430105379663</v>
      </c>
      <c r="Q19" s="4">
        <f>IF(A19&lt;('2. Inputs and results'!$B$23+1),Q18+P19," ")</f>
        <v>175117.7955851224</v>
      </c>
      <c r="R19" s="4">
        <f>IF(A19&lt;('2. Inputs and results'!$B$23+1),R18+G19+I19+H19+J19+T19-$V$6,NA())</f>
        <v>33737.117763272225</v>
      </c>
      <c r="S19" s="4">
        <f>IF(A19&lt;('2. Inputs and results'!$B$23+1),'2. Inputs and results'!$B$81*(R18)," ")</f>
        <v>222.67519804005369</v>
      </c>
      <c r="T19" s="4">
        <f t="shared" si="1"/>
        <v>0</v>
      </c>
      <c r="U19" s="4">
        <f>IF(A19&lt;('2. Inputs and results'!$B$23+1),U18+(T19+I19+G19+H19+J19-$V$6)/((1+$P$2)^A19),NA())</f>
        <v>-21176.224841524745</v>
      </c>
      <c r="V19" s="4">
        <f>IF(A19&lt;('2. Inputs and results'!$B$23+1),V18+('2. Inputs and results'!$B$77*'2. Inputs and results'!$B$75)," ")</f>
        <v>25760</v>
      </c>
      <c r="W19" s="4">
        <f>IF(A19&lt;('2. Inputs and results'!$B$23+1),W18+C19+Y19-$V$6,NA())</f>
        <v>-52697.193509791701</v>
      </c>
      <c r="X19" s="4">
        <f>IF(A19&lt;('2. Inputs and results'!$B$23+1),'2. Inputs and results'!$B$81*W18," ")</f>
        <v>-1221.9057550939549</v>
      </c>
      <c r="Y19" s="4">
        <f t="shared" si="2"/>
        <v>-1221.9057550939549</v>
      </c>
      <c r="Z19" s="4">
        <f>IF(A19&lt;('2. Inputs and results'!$B$23+1),Z18+(C19-$V$6+Y19)/((1+$P$2)^A19),NA())</f>
        <v>-79134.198650745064</v>
      </c>
      <c r="AA19" s="4">
        <f>IF(A19&lt;('2. Inputs and results'!$B$23+1),AA18+(G19+I19+H19+T19-$V$6)," ")</f>
        <v>190137.11776327225</v>
      </c>
      <c r="AB19" s="11">
        <f>IF(A19&lt;('2. Inputs and results'!$B$23+1),AA19/L19,NA())</f>
        <v>1.2157104716321756</v>
      </c>
      <c r="AC19" s="12">
        <f>IF(A19&lt;('2. Inputs and results'!$B$23+1),AC18+(C19+Y19-$V$6)," ")</f>
        <v>103702.80649020831</v>
      </c>
      <c r="AD19" s="11">
        <f>IF(A19&lt;('2. Inputs and results'!$B$23+1),AC19/L19,NA())</f>
        <v>0.66306142257166445</v>
      </c>
      <c r="AE19">
        <f>IF(A19&lt;('2. Inputs and results'!$B$23+1),-'2. Inputs and results'!$B$124*A19," ")</f>
        <v>-285600</v>
      </c>
      <c r="AF19">
        <f>IF(A19&lt;('2. Inputs and results'!$B$23+1),AE19/1000,NA())</f>
        <v>-285.60000000000002</v>
      </c>
    </row>
    <row r="20" spans="1:32">
      <c r="A20">
        <f t="shared" si="0"/>
        <v>15</v>
      </c>
      <c r="B20">
        <f>IF(A20&lt;('2. Inputs and results'!$B$23+1),A20," ")</f>
        <v>15</v>
      </c>
      <c r="C20" s="4">
        <f>IF(A20&lt;('2. Inputs and results'!$B$23+1),'2. Inputs and results'!$B$101+'2. Inputs and results'!$B$103," ")</f>
        <v>11460</v>
      </c>
      <c r="D20" s="4">
        <f>IF(A20&lt;('2. Inputs and results'!$B$23+1),D19+C20,NA())</f>
        <v>171900</v>
      </c>
      <c r="E20" s="4">
        <f>IF(B20&lt;('2. Inputs and results'!$B$23+1),C20/((1+$P$2)^A20)," ")</f>
        <v>6363.331201094129</v>
      </c>
      <c r="F20" s="4">
        <f>IF(A20&lt;('2. Inputs and results'!$B$23+1),F19+E20," ")</f>
        <v>127416.71997264662</v>
      </c>
      <c r="G20" s="4">
        <f>IF(A20&lt;('2. Inputs and results'!$B$23+1),G19*(1+'2. Inputs and results'!$B$48)," ")</f>
        <v>26452.576282326772</v>
      </c>
      <c r="H20" s="4">
        <f>IF(A20&lt;('2. Inputs and results'!$B$23+1),H19*(1+'2. Inputs and results'!$B$60)," ")</f>
        <v>0</v>
      </c>
      <c r="I20" s="4">
        <f>IF(A20&lt;('2. Inputs and results'!$B$23+1),I19*(1+'2. Inputs and results'!$B$36)," ")</f>
        <v>-542.61694938106223</v>
      </c>
      <c r="J20" s="4">
        <f>IF(A20&lt;('2. Inputs and results'!$B$23+1),J19*(1+'2. Inputs and results'!$B$70)," ")</f>
        <v>0</v>
      </c>
      <c r="K20" s="4">
        <f>IF('Solution 1, (hidden) (2)'!A20&lt;('2. Inputs and results'!$B$23+1),K19+(G20+I20+H20+J20),NA())</f>
        <v>266742.61488204077</v>
      </c>
      <c r="L20" s="4">
        <f>IF(A20&lt;('2. Inputs and results'!$B$23+1),L19,NA())</f>
        <v>156400</v>
      </c>
      <c r="M20" s="4">
        <f>IF(A20&lt;('2. Inputs and results'!$B$23+1),'2. Inputs and results'!$B$77*'2. Inputs and results'!$B$75," ")</f>
        <v>1840</v>
      </c>
      <c r="N20" s="4">
        <f>IF(A20&lt;('2. Inputs and results'!$B$23+1),M20/((1+$P$2)^A20)," ")</f>
        <v>1021.6866849924256</v>
      </c>
      <c r="O20" s="4">
        <f>IF(A20&lt;('2. Inputs and results'!$B$23+1),'2. Inputs and results'!$B$75*'2. Inputs and results'!$B$77+O19," ")</f>
        <v>182160</v>
      </c>
      <c r="P20" s="4">
        <f>IF(A20&lt;('2. Inputs and results'!$B$23+1),(G20+I20+H20+J20)/((1+$P$2)^A20)," ")</f>
        <v>14386.880684329273</v>
      </c>
      <c r="Q20" s="4">
        <f>IF(A20&lt;('2. Inputs and results'!$B$23+1),Q19+P20," ")</f>
        <v>189504.67626945168</v>
      </c>
      <c r="R20" s="4">
        <f>IF(A20&lt;('2. Inputs and results'!$B$23+1),R19+G20+I20+H20+J20+T20-$V$6,NA())</f>
        <v>57807.077096217938</v>
      </c>
      <c r="S20" s="4">
        <f>IF(A20&lt;('2. Inputs and results'!$B$23+1),'2. Inputs and results'!$B$81*(R19)," ")</f>
        <v>674.74235526544453</v>
      </c>
      <c r="T20" s="4">
        <f t="shared" si="1"/>
        <v>0</v>
      </c>
      <c r="U20" s="4">
        <f>IF(A20&lt;('2. Inputs and results'!$B$23+1),U19+(T20+I20+G20+H20+J20-$V$6)/((1+$P$2)^A20),NA())</f>
        <v>-7811.0308421878981</v>
      </c>
      <c r="V20" s="4">
        <f>IF(A20&lt;('2. Inputs and results'!$B$23+1),V19+('2. Inputs and results'!$B$77*'2. Inputs and results'!$B$75)," ")</f>
        <v>27600</v>
      </c>
      <c r="W20" s="4">
        <f>IF(A20&lt;('2. Inputs and results'!$B$23+1),W19+C20+Y20-$V$6,NA())</f>
        <v>-44131.137379987536</v>
      </c>
      <c r="X20" s="4">
        <f>IF(A20&lt;('2. Inputs and results'!$B$23+1),'2. Inputs and results'!$B$81*W19," ")</f>
        <v>-1053.9438701958341</v>
      </c>
      <c r="Y20" s="4">
        <f t="shared" si="2"/>
        <v>-1053.9438701958341</v>
      </c>
      <c r="Z20" s="4">
        <f>IF(A20&lt;('2. Inputs and results'!$B$23+1),Z19+(C20-$V$6+Y20)/((1+$P$2)^A20),NA())</f>
        <v>-74377.77175361535</v>
      </c>
      <c r="AA20" s="4">
        <f>IF(A20&lt;('2. Inputs and results'!$B$23+1),AA19+(G20+I20+H20+T20-$V$6)," ")</f>
        <v>214207.07709621795</v>
      </c>
      <c r="AB20" s="11">
        <f>IF(A20&lt;('2. Inputs and results'!$B$23+1),AA20/L20,NA())</f>
        <v>1.3696104673671226</v>
      </c>
      <c r="AC20" s="12">
        <f>IF(A20&lt;('2. Inputs and results'!$B$23+1),AC19+(C20+Y20-$V$6)," ")</f>
        <v>112268.86262001249</v>
      </c>
      <c r="AD20" s="11">
        <f>IF(A20&lt;('2. Inputs and results'!$B$23+1),AC20/L20,NA())</f>
        <v>0.71783160242974731</v>
      </c>
      <c r="AE20">
        <f>IF(A20&lt;('2. Inputs and results'!$B$23+1),-'2. Inputs and results'!$B$124*A20," ")</f>
        <v>-306000</v>
      </c>
      <c r="AF20">
        <f>IF(A20&lt;('2. Inputs and results'!$B$23+1),AE20/1000,NA())</f>
        <v>-306</v>
      </c>
    </row>
    <row r="21" spans="1:32">
      <c r="A21">
        <f t="shared" si="0"/>
        <v>16</v>
      </c>
      <c r="B21">
        <f>IF(A21&lt;('2. Inputs and results'!$B$23+1),A21," ")</f>
        <v>16</v>
      </c>
      <c r="C21" s="4">
        <f>IF(A21&lt;('2. Inputs and results'!$B$23+1),'2. Inputs and results'!$B$101+'2. Inputs and results'!$B$103," ")</f>
        <v>11460</v>
      </c>
      <c r="D21" s="4">
        <f>IF(A21&lt;('2. Inputs and results'!$B$23+1),D20+C21,NA())</f>
        <v>183360</v>
      </c>
      <c r="E21" s="4">
        <f>IF(B21&lt;('2. Inputs and results'!$B$23+1),C21/((1+$P$2)^A21)," ")</f>
        <v>6118.5876933597383</v>
      </c>
      <c r="F21" s="4">
        <f>IF(A21&lt;('2. Inputs and results'!$B$23+1),F20+E21," ")</f>
        <v>133535.30766600635</v>
      </c>
      <c r="G21" s="4">
        <f>IF(A21&lt;('2. Inputs and results'!$B$23+1),G20*(1+'2. Inputs and results'!$B$48)," ")</f>
        <v>28039.730859266379</v>
      </c>
      <c r="H21" s="4">
        <f>IF(A21&lt;('2. Inputs and results'!$B$23+1),H20*(1+'2. Inputs and results'!$B$60)," ")</f>
        <v>0</v>
      </c>
      <c r="I21" s="4">
        <f>IF(A21&lt;('2. Inputs and results'!$B$23+1),I20*(1+'2. Inputs and results'!$B$36)," ")</f>
        <v>-575.17396634392594</v>
      </c>
      <c r="J21" s="4">
        <f>IF(A21&lt;('2. Inputs and results'!$B$23+1),J20*(1+'2. Inputs and results'!$B$70)," ")</f>
        <v>0</v>
      </c>
      <c r="K21" s="4">
        <f>IF('Solution 1, (hidden) (2)'!A21&lt;('2. Inputs and results'!$B$23+1),K20+(G21+I21+H21+J21),NA())</f>
        <v>294207.17177496321</v>
      </c>
      <c r="L21" s="4">
        <f>IF(A21&lt;('2. Inputs and results'!$B$23+1),L20,NA())</f>
        <v>156400</v>
      </c>
      <c r="M21" s="4">
        <f>IF(A21&lt;('2. Inputs and results'!$B$23+1),'2. Inputs and results'!$B$77*'2. Inputs and results'!$B$75," ")</f>
        <v>1840</v>
      </c>
      <c r="N21" s="4">
        <f>IF(A21&lt;('2. Inputs and results'!$B$23+1),M21/((1+$P$2)^A21)," ")</f>
        <v>982.39104326194752</v>
      </c>
      <c r="O21" s="4">
        <f>IF(A21&lt;('2. Inputs and results'!$B$23+1),'2. Inputs and results'!$B$75*'2. Inputs and results'!$B$77+O20," ")</f>
        <v>184000</v>
      </c>
      <c r="P21" s="4">
        <f>IF(A21&lt;('2. Inputs and results'!$B$23+1),(G21+I21+H21+J21)/((1+$P$2)^A21)," ")</f>
        <v>14663.551466720219</v>
      </c>
      <c r="Q21" s="4">
        <f>IF(A21&lt;('2. Inputs and results'!$B$23+1),Q20+P21," ")</f>
        <v>204168.22773617189</v>
      </c>
      <c r="R21" s="4">
        <f>IF(A21&lt;('2. Inputs and results'!$B$23+1),R20+G21+I21+H21+J21+T21-$V$6,NA())</f>
        <v>83431.633989140391</v>
      </c>
      <c r="S21" s="4">
        <f>IF(A21&lt;('2. Inputs and results'!$B$23+1),'2. Inputs and results'!$B$81*(R20)," ")</f>
        <v>1156.1415419243588</v>
      </c>
      <c r="T21" s="4">
        <f t="shared" si="1"/>
        <v>0</v>
      </c>
      <c r="U21" s="4">
        <f>IF(A21&lt;('2. Inputs and results'!$B$23+1),U20+(T21+I21+G21+H21+J21-$V$6)/((1+$P$2)^A21),NA())</f>
        <v>5870.1295812703738</v>
      </c>
      <c r="V21" s="4">
        <f>IF(A21&lt;('2. Inputs and results'!$B$23+1),V20+('2. Inputs and results'!$B$77*'2. Inputs and results'!$B$75)," ")</f>
        <v>29440</v>
      </c>
      <c r="W21" s="4">
        <f>IF(A21&lt;('2. Inputs and results'!$B$23+1),W20+C21+Y21-$V$6,NA())</f>
        <v>-35393.760127587288</v>
      </c>
      <c r="X21" s="4">
        <f>IF(A21&lt;('2. Inputs and results'!$B$23+1),'2. Inputs and results'!$B$81*W20," ")</f>
        <v>-882.62274759975071</v>
      </c>
      <c r="Y21" s="4">
        <f t="shared" si="2"/>
        <v>-882.62274759975071</v>
      </c>
      <c r="Z21" s="4">
        <f>IF(A21&lt;('2. Inputs and results'!$B$23+1),Z20+(C21-$V$6+Y21)/((1+$P$2)^A21),NA())</f>
        <v>-69712.814604507366</v>
      </c>
      <c r="AA21" s="4">
        <f>IF(A21&lt;('2. Inputs and results'!$B$23+1),AA20+(G21+I21+H21+T21-$V$6)," ")</f>
        <v>239831.63398914039</v>
      </c>
      <c r="AB21" s="11">
        <f>IF(A21&lt;('2. Inputs and results'!$B$23+1),AA21/L21,NA())</f>
        <v>1.5334503451991073</v>
      </c>
      <c r="AC21" s="12">
        <f>IF(A21&lt;('2. Inputs and results'!$B$23+1),AC20+(C21+Y21-$V$6)," ")</f>
        <v>121006.23987241273</v>
      </c>
      <c r="AD21" s="11">
        <f>IF(A21&lt;('2. Inputs and results'!$B$23+1),AC21/L21,NA())</f>
        <v>0.77369718588499181</v>
      </c>
      <c r="AE21">
        <f>IF(A21&lt;('2. Inputs and results'!$B$23+1),-'2. Inputs and results'!$B$124*A21," ")</f>
        <v>-326400</v>
      </c>
      <c r="AF21">
        <f>IF(A21&lt;('2. Inputs and results'!$B$23+1),AE21/1000,NA())</f>
        <v>-326.39999999999998</v>
      </c>
    </row>
    <row r="22" spans="1:32">
      <c r="A22">
        <f t="shared" si="0"/>
        <v>17</v>
      </c>
      <c r="B22">
        <f>IF(A22&lt;('2. Inputs and results'!$B$23+1),A22," ")</f>
        <v>17</v>
      </c>
      <c r="C22" s="4">
        <f>IF(A22&lt;('2. Inputs and results'!$B$23+1),'2. Inputs and results'!$B$101+'2. Inputs and results'!$B$103," ")</f>
        <v>11460</v>
      </c>
      <c r="D22" s="4">
        <f>IF(A22&lt;('2. Inputs and results'!$B$23+1),D21+C22,NA())</f>
        <v>194820</v>
      </c>
      <c r="E22" s="4">
        <f>IF(B22&lt;('2. Inputs and results'!$B$23+1),C22/((1+$P$2)^A22)," ")</f>
        <v>5883.2573974612869</v>
      </c>
      <c r="F22" s="4">
        <f>IF(A22&lt;('2. Inputs and results'!$B$23+1),F21+E22," ")</f>
        <v>139418.56506346763</v>
      </c>
      <c r="G22" s="4">
        <f>IF(A22&lt;('2. Inputs and results'!$B$23+1),G21*(1+'2. Inputs and results'!$B$48)," ")</f>
        <v>29722.114710822363</v>
      </c>
      <c r="H22" s="4">
        <f>IF(A22&lt;('2. Inputs and results'!$B$23+1),H21*(1+'2. Inputs and results'!$B$60)," ")</f>
        <v>0</v>
      </c>
      <c r="I22" s="4">
        <f>IF(A22&lt;('2. Inputs and results'!$B$23+1),I21*(1+'2. Inputs and results'!$B$36)," ")</f>
        <v>-609.68440432456157</v>
      </c>
      <c r="J22" s="4">
        <f>IF(A22&lt;('2. Inputs and results'!$B$23+1),J21*(1+'2. Inputs and results'!$B$70)," ")</f>
        <v>0</v>
      </c>
      <c r="K22" s="4">
        <f>IF('Solution 1, (hidden) (2)'!A22&lt;('2. Inputs and results'!$B$23+1),K21+(G22+I22+H22+J22),NA())</f>
        <v>323319.60208146099</v>
      </c>
      <c r="L22" s="4">
        <f>IF(A22&lt;('2. Inputs and results'!$B$23+1),L21,NA())</f>
        <v>156400</v>
      </c>
      <c r="M22" s="4">
        <f>IF(A22&lt;('2. Inputs and results'!$B$23+1),'2. Inputs and results'!$B$77*'2. Inputs and results'!$B$75," ")</f>
        <v>1840</v>
      </c>
      <c r="N22" s="4">
        <f>IF(A22&lt;('2. Inputs and results'!$B$23+1),M22/((1+$P$2)^A22)," ")</f>
        <v>944.60677236725724</v>
      </c>
      <c r="O22" s="4">
        <f>IF(A22&lt;('2. Inputs and results'!$B$23+1),'2. Inputs and results'!$B$75*'2. Inputs and results'!$B$77+O21," ")</f>
        <v>185840</v>
      </c>
      <c r="P22" s="4">
        <f>IF(A22&lt;('2. Inputs and results'!$B$23+1),(G22+I22+H22+J22)/((1+$P$2)^A22)," ")</f>
        <v>14945.542841080223</v>
      </c>
      <c r="Q22" s="4">
        <f>IF(A22&lt;('2. Inputs and results'!$B$23+1),Q21+P22," ")</f>
        <v>219113.77057725211</v>
      </c>
      <c r="R22" s="4">
        <f>IF(A22&lt;('2. Inputs and results'!$B$23+1),R21+G22+I22+H22+J22+T22-$V$6,NA())</f>
        <v>110704.06429563819</v>
      </c>
      <c r="S22" s="4">
        <f>IF(A22&lt;('2. Inputs and results'!$B$23+1),'2. Inputs and results'!$B$81*(R21)," ")</f>
        <v>1668.6326797828078</v>
      </c>
      <c r="T22" s="4">
        <f t="shared" si="1"/>
        <v>0</v>
      </c>
      <c r="U22" s="4">
        <f>IF(A22&lt;('2. Inputs and results'!$B$23+1),U21+(T22+I22+G22+H22+J22-$V$6)/((1+$P$2)^A22),NA())</f>
        <v>19871.065649983339</v>
      </c>
      <c r="V22" s="4">
        <f>IF(A22&lt;('2. Inputs and results'!$B$23+1),V21+('2. Inputs and results'!$B$77*'2. Inputs and results'!$B$75)," ")</f>
        <v>31280</v>
      </c>
      <c r="W22" s="4">
        <f>IF(A22&lt;('2. Inputs and results'!$B$23+1),W21+C22+Y22-$V$6,NA())</f>
        <v>-26481.635330139034</v>
      </c>
      <c r="X22" s="4">
        <f>IF(A22&lt;('2. Inputs and results'!$B$23+1),'2. Inputs and results'!$B$81*W21," ")</f>
        <v>-707.87520255174582</v>
      </c>
      <c r="Y22" s="4">
        <f t="shared" si="2"/>
        <v>-707.87520255174582</v>
      </c>
      <c r="Z22" s="4">
        <f>IF(A22&lt;('2. Inputs and results'!$B$23+1),Z21+(C22-$V$6+Y22)/((1+$P$2)^A22),NA())</f>
        <v>-65137.568169805309</v>
      </c>
      <c r="AA22" s="4">
        <f>IF(A22&lt;('2. Inputs and results'!$B$23+1),AA21+(G22+I22+H22+T22-$V$6)," ")</f>
        <v>267104.06429563818</v>
      </c>
      <c r="AB22" s="11">
        <f>IF(A22&lt;('2. Inputs and results'!$B$23+1),AA22/L22,NA())</f>
        <v>1.7078264980539526</v>
      </c>
      <c r="AC22" s="12">
        <f>IF(A22&lt;('2. Inputs and results'!$B$23+1),AC21+(C22+Y22-$V$6)," ")</f>
        <v>129918.36466986098</v>
      </c>
      <c r="AD22" s="11">
        <f>IF(A22&lt;('2. Inputs and results'!$B$23+1),AC22/L22,NA())</f>
        <v>0.83068008100934132</v>
      </c>
      <c r="AE22">
        <f>IF(A22&lt;('2. Inputs and results'!$B$23+1),-'2. Inputs and results'!$B$124*A22," ")</f>
        <v>-346800</v>
      </c>
      <c r="AF22">
        <f>IF(A22&lt;('2. Inputs and results'!$B$23+1),AE22/1000,NA())</f>
        <v>-346.8</v>
      </c>
    </row>
    <row r="23" spans="1:32">
      <c r="A23">
        <f t="shared" si="0"/>
        <v>18</v>
      </c>
      <c r="B23">
        <f>IF(A23&lt;('2. Inputs and results'!$B$23+1),A23," ")</f>
        <v>18</v>
      </c>
      <c r="C23" s="4">
        <f>IF(A23&lt;('2. Inputs and results'!$B$23+1),'2. Inputs and results'!$B$101+'2. Inputs and results'!$B$103," ")</f>
        <v>11460</v>
      </c>
      <c r="D23" s="4">
        <f>IF(A23&lt;('2. Inputs and results'!$B$23+1),D22+C23,NA())</f>
        <v>206280</v>
      </c>
      <c r="E23" s="4">
        <f>IF(B23&lt;('2. Inputs and results'!$B$23+1),C23/((1+$P$2)^A23)," ")</f>
        <v>5656.978266789698</v>
      </c>
      <c r="F23" s="4">
        <f>IF(A23&lt;('2. Inputs and results'!$B$23+1),F22+E23," ")</f>
        <v>145075.54333025732</v>
      </c>
      <c r="G23" s="4">
        <f>IF(A23&lt;('2. Inputs and results'!$B$23+1),G22*(1+'2. Inputs and results'!$B$48)," ")</f>
        <v>31505.441593471707</v>
      </c>
      <c r="H23" s="4">
        <f>IF(A23&lt;('2. Inputs and results'!$B$23+1),H22*(1+'2. Inputs and results'!$B$60)," ")</f>
        <v>0</v>
      </c>
      <c r="I23" s="4">
        <f>IF(A23&lt;('2. Inputs and results'!$B$23+1),I22*(1+'2. Inputs and results'!$B$36)," ")</f>
        <v>-646.26546858403526</v>
      </c>
      <c r="J23" s="4">
        <f>IF(A23&lt;('2. Inputs and results'!$B$23+1),J22*(1+'2. Inputs and results'!$B$70)," ")</f>
        <v>0</v>
      </c>
      <c r="K23" s="4">
        <f>IF('Solution 1, (hidden) (2)'!A23&lt;('2. Inputs and results'!$B$23+1),K22+(G23+I23+H23+J23),NA())</f>
        <v>354178.77820634865</v>
      </c>
      <c r="L23" s="4">
        <f>IF(A23&lt;('2. Inputs and results'!$B$23+1),L22,NA())</f>
        <v>156400</v>
      </c>
      <c r="M23" s="4">
        <f>IF(A23&lt;('2. Inputs and results'!$B$23+1),'2. Inputs and results'!$B$77*'2. Inputs and results'!$B$75," ")</f>
        <v>1840</v>
      </c>
      <c r="N23" s="4">
        <f>IF(A23&lt;('2. Inputs and results'!$B$23+1),M23/((1+$P$2)^A23)," ")</f>
        <v>908.27574266082422</v>
      </c>
      <c r="O23" s="4">
        <f>IF(A23&lt;('2. Inputs and results'!$B$23+1),'2. Inputs and results'!$B$75*'2. Inputs and results'!$B$77+O22," ")</f>
        <v>187680</v>
      </c>
      <c r="P23" s="4">
        <f>IF(A23&lt;('2. Inputs and results'!$B$23+1),(G23+I23+H23+J23)/((1+$P$2)^A23)," ")</f>
        <v>15232.957126485611</v>
      </c>
      <c r="Q23" s="4">
        <f>IF(A23&lt;('2. Inputs and results'!$B$23+1),Q22+P23," ")</f>
        <v>234346.72770373774</v>
      </c>
      <c r="R23" s="4">
        <f>IF(A23&lt;('2. Inputs and results'!$B$23+1),R22+G23+I23+H23+J23+T23-$V$6,NA())</f>
        <v>139723.24042052586</v>
      </c>
      <c r="S23" s="4">
        <f>IF(A23&lt;('2. Inputs and results'!$B$23+1),'2. Inputs and results'!$B$81*(R22)," ")</f>
        <v>2214.0812859127641</v>
      </c>
      <c r="T23" s="4">
        <f t="shared" si="1"/>
        <v>0</v>
      </c>
      <c r="U23" s="4">
        <f>IF(A23&lt;('2. Inputs and results'!$B$23+1),U22+(T23+I23+G23+H23+J23-$V$6)/((1+$P$2)^A23),NA())</f>
        <v>34195.747033808126</v>
      </c>
      <c r="V23" s="4">
        <f>IF(A23&lt;('2. Inputs and results'!$B$23+1),V22+('2. Inputs and results'!$B$77*'2. Inputs and results'!$B$75)," ")</f>
        <v>33120</v>
      </c>
      <c r="W23" s="4">
        <f>IF(A23&lt;('2. Inputs and results'!$B$23+1),W22+C23+Y23-$V$6,NA())</f>
        <v>-17391.268036741814</v>
      </c>
      <c r="X23" s="4">
        <f>IF(A23&lt;('2. Inputs and results'!$B$23+1),'2. Inputs and results'!$B$81*W22," ")</f>
        <v>-529.63270660278067</v>
      </c>
      <c r="Y23" s="4">
        <f t="shared" si="2"/>
        <v>-529.63270660278067</v>
      </c>
      <c r="Z23" s="4">
        <f>IF(A23&lt;('2. Inputs and results'!$B$23+1),Z22+(C23-$V$6+Y23)/((1+$P$2)^A23),NA())</f>
        <v>-60650.307243462899</v>
      </c>
      <c r="AA23" s="4">
        <f>IF(A23&lt;('2. Inputs and results'!$B$23+1),AA22+(G23+I23+H23+T23-$V$6)," ")</f>
        <v>296123.24042052584</v>
      </c>
      <c r="AB23" s="11">
        <f>IF(A23&lt;('2. Inputs and results'!$B$23+1),AA23/L23,NA())</f>
        <v>1.8933711024330295</v>
      </c>
      <c r="AC23" s="12">
        <f>IF(A23&lt;('2. Inputs and results'!$B$23+1),AC22+(C23+Y23-$V$6)," ")</f>
        <v>139008.73196325821</v>
      </c>
      <c r="AD23" s="11">
        <f>IF(A23&lt;('2. Inputs and results'!$B$23+1),AC23/L23,NA())</f>
        <v>0.88880263403617776</v>
      </c>
      <c r="AE23">
        <f>IF(A23&lt;('2. Inputs and results'!$B$23+1),-'2. Inputs and results'!$B$124*A23," ")</f>
        <v>-367200</v>
      </c>
      <c r="AF23">
        <f>IF(A23&lt;('2. Inputs and results'!$B$23+1),AE23/1000,NA())</f>
        <v>-367.2</v>
      </c>
    </row>
    <row r="24" spans="1:32">
      <c r="A24">
        <f t="shared" si="0"/>
        <v>19</v>
      </c>
      <c r="B24">
        <f>IF(A24&lt;('2. Inputs and results'!$B$23+1),A24," ")</f>
        <v>19</v>
      </c>
      <c r="C24" s="4">
        <f>IF(A24&lt;('2. Inputs and results'!$B$23+1),'2. Inputs and results'!$B$101+'2. Inputs and results'!$B$103," ")</f>
        <v>11460</v>
      </c>
      <c r="D24" s="4">
        <f>IF(A24&lt;('2. Inputs and results'!$B$23+1),D23+C24,NA())</f>
        <v>217740</v>
      </c>
      <c r="E24" s="4">
        <f>IF(B24&lt;('2. Inputs and results'!$B$23+1),C24/((1+$P$2)^A24)," ")</f>
        <v>5439.4021796054794</v>
      </c>
      <c r="F24" s="4">
        <f>IF(A24&lt;('2. Inputs and results'!$B$23+1),F23+E24," ")</f>
        <v>150514.9455098628</v>
      </c>
      <c r="G24" s="4">
        <f>IF(A24&lt;('2. Inputs and results'!$B$23+1),G23*(1+'2. Inputs and results'!$B$48)," ")</f>
        <v>33395.768089080011</v>
      </c>
      <c r="H24" s="4">
        <f>IF(A24&lt;('2. Inputs and results'!$B$23+1),H23*(1+'2. Inputs and results'!$B$60)," ")</f>
        <v>0</v>
      </c>
      <c r="I24" s="4">
        <f>IF(A24&lt;('2. Inputs and results'!$B$23+1),I23*(1+'2. Inputs and results'!$B$36)," ")</f>
        <v>-685.04139669907738</v>
      </c>
      <c r="J24" s="4">
        <f>IF(A24&lt;('2. Inputs and results'!$B$23+1),J23*(1+'2. Inputs and results'!$B$70)," ")</f>
        <v>0</v>
      </c>
      <c r="K24" s="4">
        <f>IF('Solution 1, (hidden) (2)'!A24&lt;('2. Inputs and results'!$B$23+1),K23+(G24+I24+H24+J24),NA())</f>
        <v>386889.50489872956</v>
      </c>
      <c r="L24" s="4">
        <f>IF(A24&lt;('2. Inputs and results'!$B$23+1),L23,NA())</f>
        <v>156400</v>
      </c>
      <c r="M24" s="4">
        <f>IF(A24&lt;('2. Inputs and results'!$B$23+1),'2. Inputs and results'!$B$77*'2. Inputs and results'!$B$75," ")</f>
        <v>1840</v>
      </c>
      <c r="N24" s="4">
        <f>IF(A24&lt;('2. Inputs and results'!$B$23+1),M24/((1+$P$2)^A24)," ")</f>
        <v>873.34206025079254</v>
      </c>
      <c r="O24" s="4">
        <f>IF(A24&lt;('2. Inputs and results'!$B$23+1),'2. Inputs and results'!$B$75*'2. Inputs and results'!$B$77+O23," ")</f>
        <v>189520</v>
      </c>
      <c r="P24" s="4">
        <f>IF(A24&lt;('2. Inputs and results'!$B$23+1),(G24+I24+H24+J24)/((1+$P$2)^A24)," ")</f>
        <v>15525.898609687258</v>
      </c>
      <c r="Q24" s="4">
        <f>IF(A24&lt;('2. Inputs and results'!$B$23+1),Q23+P24," ")</f>
        <v>249872.62631342499</v>
      </c>
      <c r="R24" s="4">
        <f>IF(A24&lt;('2. Inputs and results'!$B$23+1),R23+G24+I24+H24+J24+T24-$V$6,NA())</f>
        <v>170593.9671129068</v>
      </c>
      <c r="S24" s="4">
        <f>IF(A24&lt;('2. Inputs and results'!$B$23+1),'2. Inputs and results'!$B$81*(R23)," ")</f>
        <v>2794.4648084105174</v>
      </c>
      <c r="T24" s="4">
        <f t="shared" si="1"/>
        <v>0</v>
      </c>
      <c r="U24" s="4">
        <f>IF(A24&lt;('2. Inputs and results'!$B$23+1),U23+(T24+I24+G24+H24+J24-$V$6)/((1+$P$2)^A24),NA())</f>
        <v>48848.303583244589</v>
      </c>
      <c r="V24" s="4">
        <f>IF(A24&lt;('2. Inputs and results'!$B$23+1),V23+('2. Inputs and results'!$B$77*'2. Inputs and results'!$B$75)," ")</f>
        <v>34960</v>
      </c>
      <c r="W24" s="4">
        <f>IF(A24&lt;('2. Inputs and results'!$B$23+1),W23+C24+Y24-$V$6,NA())</f>
        <v>-8119.0933974766504</v>
      </c>
      <c r="X24" s="4">
        <f>IF(A24&lt;('2. Inputs and results'!$B$23+1),'2. Inputs and results'!$B$81*W23," ")</f>
        <v>-347.82536073483629</v>
      </c>
      <c r="Y24" s="4">
        <f t="shared" si="2"/>
        <v>-347.82536073483629</v>
      </c>
      <c r="Z24" s="4">
        <f>IF(A24&lt;('2. Inputs and results'!$B$23+1),Z23+(C24-$V$6+Y24)/((1+$P$2)^A24),NA())</f>
        <v>-56249.339796473228</v>
      </c>
      <c r="AA24" s="4">
        <f>IF(A24&lt;('2. Inputs and results'!$B$23+1),AA23+(G24+I24+H24+T24-$V$6)," ")</f>
        <v>326993.96711290674</v>
      </c>
      <c r="AB24" s="11">
        <f>IF(A24&lt;('2. Inputs and results'!$B$23+1),AA24/L24,NA())</f>
        <v>2.0907542654277926</v>
      </c>
      <c r="AC24" s="12">
        <f>IF(A24&lt;('2. Inputs and results'!$B$23+1),AC23+(C24+Y24-$V$6)," ")</f>
        <v>148280.90660252338</v>
      </c>
      <c r="AD24" s="11">
        <f>IF(A24&lt;('2. Inputs and results'!$B$23+1),AC24/L24,NA())</f>
        <v>0.94808763812355101</v>
      </c>
      <c r="AE24">
        <f>IF(A24&lt;('2. Inputs and results'!$B$23+1),-'2. Inputs and results'!$B$124*A24," ")</f>
        <v>-387600</v>
      </c>
      <c r="AF24">
        <f>IF(A24&lt;('2. Inputs and results'!$B$23+1),AE24/1000,NA())</f>
        <v>-387.6</v>
      </c>
    </row>
    <row r="25" spans="1:32">
      <c r="A25">
        <f t="shared" si="0"/>
        <v>20</v>
      </c>
      <c r="B25">
        <f>IF(A25&lt;('2. Inputs and results'!$B$23+1),A25," ")</f>
        <v>20</v>
      </c>
      <c r="C25" s="4">
        <f>IF(A25&lt;('2. Inputs and results'!$B$23+1),'2. Inputs and results'!$B$101+'2. Inputs and results'!$B$103," ")</f>
        <v>11460</v>
      </c>
      <c r="D25" s="4">
        <f>IF(A25&lt;('2. Inputs and results'!$B$23+1),D24+C25,NA())</f>
        <v>229200</v>
      </c>
      <c r="E25" s="4">
        <f>IF(B25&lt;('2. Inputs and results'!$B$23+1),C25/((1+$P$2)^A25)," ")</f>
        <v>5230.1944034668068</v>
      </c>
      <c r="F25" s="4">
        <f>IF(A25&lt;('2. Inputs and results'!$B$23+1),F24+E25," ")</f>
        <v>155745.13991332959</v>
      </c>
      <c r="G25" s="4">
        <f>IF(A25&lt;('2. Inputs and results'!$B$23+1),G24*(1+'2. Inputs and results'!$B$48)," ")</f>
        <v>35399.51417442481</v>
      </c>
      <c r="H25" s="4">
        <f>IF(A25&lt;('2. Inputs and results'!$B$23+1),H24*(1+'2. Inputs and results'!$B$60)," ")</f>
        <v>0</v>
      </c>
      <c r="I25" s="4">
        <f>IF(A25&lt;('2. Inputs and results'!$B$23+1),I24*(1+'2. Inputs and results'!$B$36)," ")</f>
        <v>-726.14388050102207</v>
      </c>
      <c r="J25" s="4">
        <f>IF(A25&lt;('2. Inputs and results'!$B$23+1),J24*(1+'2. Inputs and results'!$B$70)," ")</f>
        <v>0</v>
      </c>
      <c r="K25" s="4">
        <f>IF('Solution 1, (hidden) (2)'!A25&lt;('2. Inputs and results'!$B$23+1),K24+(G25+I25+H25+J25),NA())</f>
        <v>421562.87519265333</v>
      </c>
      <c r="L25" s="4">
        <f>IF(A25&lt;('2. Inputs and results'!$B$23+1),L24,NA())</f>
        <v>156400</v>
      </c>
      <c r="M25" s="4">
        <f>IF(A25&lt;('2. Inputs and results'!$B$23+1),'2. Inputs and results'!$B$77*'2. Inputs and results'!$B$75," ")</f>
        <v>1840</v>
      </c>
      <c r="N25" s="4">
        <f>IF(A25&lt;('2. Inputs and results'!$B$23+1),M25/((1+$P$2)^A25)," ")</f>
        <v>839.75198101037745</v>
      </c>
      <c r="O25" s="4">
        <f>IF(A25&lt;('2. Inputs and results'!$B$23+1),'2. Inputs and results'!$B$75*'2. Inputs and results'!$B$77+O24," ")</f>
        <v>191360</v>
      </c>
      <c r="P25" s="4">
        <f>IF(A25&lt;('2. Inputs and results'!$B$23+1),(G25+I25+H25+J25)/((1+$P$2)^A25)," ")</f>
        <v>15824.473582950473</v>
      </c>
      <c r="Q25" s="4">
        <f>IF(A25&lt;('2. Inputs and results'!$B$23+1),Q24+P25," ")</f>
        <v>265697.09989637544</v>
      </c>
      <c r="R25" s="4">
        <f>IF(A25&lt;('2. Inputs and results'!$B$23+1),R24+G25+I25+H25+J25+T25-$V$6,NA())</f>
        <v>203427.3374068306</v>
      </c>
      <c r="S25" s="4">
        <f>IF(A25&lt;('2. Inputs and results'!$B$23+1),'2. Inputs and results'!$B$81*(R24)," ")</f>
        <v>3411.8793422581361</v>
      </c>
      <c r="T25" s="4">
        <f t="shared" si="1"/>
        <v>0</v>
      </c>
      <c r="U25" s="4">
        <f>IF(A25&lt;('2. Inputs and results'!$B$23+1),U24+(T25+I25+G25+H25+J25-$V$6)/((1+$P$2)^A25),NA())</f>
        <v>63833.025185184684</v>
      </c>
      <c r="V25" s="4">
        <f>IF(A25&lt;('2. Inputs and results'!$B$23+1),V24+('2. Inputs and results'!$B$77*'2. Inputs and results'!$B$75)," ")</f>
        <v>36800</v>
      </c>
      <c r="W25" s="4">
        <f>IF(A25&lt;('2. Inputs and results'!$B$23+1),W24+C25+Y25-$V$6,NA())</f>
        <v>1338.5247345738167</v>
      </c>
      <c r="X25" s="4">
        <f>IF(A25&lt;('2. Inputs and results'!$B$23+1),'2. Inputs and results'!$B$81*W24," ")</f>
        <v>-162.38186794953302</v>
      </c>
      <c r="Y25" s="4">
        <f t="shared" si="2"/>
        <v>-162.38186794953302</v>
      </c>
      <c r="Z25" s="4">
        <f>IF(A25&lt;('2. Inputs and results'!$B$23+1),Z24+(C25-$V$6+Y25)/((1+$P$2)^A25),NA())</f>
        <v>-51933.006338848747</v>
      </c>
      <c r="AA25" s="4">
        <f>IF(A25&lt;('2. Inputs and results'!$B$23+1),AA24+(G25+I25+H25+T25-$V$6)," ")</f>
        <v>359827.33740683051</v>
      </c>
      <c r="AB25" s="11">
        <f>IF(A25&lt;('2. Inputs and results'!$B$23+1),AA25/L25,NA())</f>
        <v>2.3006863005551823</v>
      </c>
      <c r="AC25" s="12">
        <f>IF(A25&lt;('2. Inputs and results'!$B$23+1),AC24+(C25+Y25-$V$6)," ")</f>
        <v>157738.52473457385</v>
      </c>
      <c r="AD25" s="11">
        <f>IF(A25&lt;('2. Inputs and results'!$B$23+1),AC25/L25,NA())</f>
        <v>1.0085583422926716</v>
      </c>
      <c r="AE25">
        <f>IF(A25&lt;('2. Inputs and results'!$B$23+1),-'2. Inputs and results'!$B$124*A25," ")</f>
        <v>-408000</v>
      </c>
      <c r="AF25">
        <f>IF(A25&lt;('2. Inputs and results'!$B$23+1),AE25/1000,NA())</f>
        <v>-408</v>
      </c>
    </row>
    <row r="26" spans="1:32">
      <c r="A26">
        <f t="shared" si="0"/>
        <v>21</v>
      </c>
      <c r="B26" t="str">
        <f>IF(A26&lt;('2. Inputs and results'!$B$23+1),A26," ")</f>
        <v xml:space="preserve"> </v>
      </c>
      <c r="C26" s="4" t="str">
        <f>IF(A26&lt;('2. Inputs and results'!$B$23+1),'2. Inputs and results'!$B$101+'2. Inputs and results'!$B$103," ")</f>
        <v xml:space="preserve"> </v>
      </c>
      <c r="D26" s="4" t="e">
        <f>IF(A26&lt;('2. Inputs and results'!$B$23+1),D25+C26,NA())</f>
        <v>#N/A</v>
      </c>
      <c r="E26" s="4" t="str">
        <f>IF(B26&lt;('2. Inputs and results'!$B$23+1),C26/((1+$P$2)^A26)," ")</f>
        <v xml:space="preserve"> </v>
      </c>
      <c r="F26" s="4" t="str">
        <f>IF(A26&lt;('2. Inputs and results'!$B$23+1),F25+E26," ")</f>
        <v xml:space="preserve"> </v>
      </c>
      <c r="G26" s="4" t="str">
        <f>IF(A26&lt;('2. Inputs and results'!$B$23+1),G25*(1+'2. Inputs and results'!$B$48)," ")</f>
        <v xml:space="preserve"> </v>
      </c>
      <c r="H26" s="4" t="str">
        <f>IF(A26&lt;('2. Inputs and results'!$B$23+1),H25*(1+'2. Inputs and results'!$B$60)," ")</f>
        <v xml:space="preserve"> </v>
      </c>
      <c r="I26" s="4" t="str">
        <f>IF(A26&lt;('2. Inputs and results'!$B$23+1),I25*(1+'2. Inputs and results'!$B$36)," ")</f>
        <v xml:space="preserve"> </v>
      </c>
      <c r="J26" s="4" t="str">
        <f>IF(A26&lt;('2. Inputs and results'!$B$23+1),J25*(1+'2. Inputs and results'!$B$70)," ")</f>
        <v xml:space="preserve"> </v>
      </c>
      <c r="K26" s="4" t="e">
        <f>IF('Solution 1, (hidden) (2)'!A26&lt;('2. Inputs and results'!$B$23+1),K25+(G26+I26+H26+J26),NA())</f>
        <v>#N/A</v>
      </c>
      <c r="L26" s="4" t="e">
        <f>IF(A26&lt;('2. Inputs and results'!$B$23+1),L25,NA())</f>
        <v>#N/A</v>
      </c>
      <c r="M26" s="4" t="str">
        <f>IF(A26&lt;('2. Inputs and results'!$B$23+1),'2. Inputs and results'!$B$77*'2. Inputs and results'!$B$75," ")</f>
        <v xml:space="preserve"> </v>
      </c>
      <c r="N26" s="4" t="str">
        <f>IF(A26&lt;('2. Inputs and results'!$B$23+1),M26/((1+$P$2)^A26)," ")</f>
        <v xml:space="preserve"> </v>
      </c>
      <c r="O26" s="4" t="str">
        <f>IF(A26&lt;('2. Inputs and results'!$B$23+1),'2. Inputs and results'!$B$75*'2. Inputs and results'!$B$77+O25," ")</f>
        <v xml:space="preserve"> </v>
      </c>
      <c r="P26" s="4" t="str">
        <f>IF(A26&lt;('2. Inputs and results'!$B$23+1),(G26+I26+H26+J26)/((1+$P$2)^A26)," ")</f>
        <v xml:space="preserve"> </v>
      </c>
      <c r="Q26" s="4" t="str">
        <f>IF(A26&lt;('2. Inputs and results'!$B$23+1),Q25+P26," ")</f>
        <v xml:space="preserve"> </v>
      </c>
      <c r="R26" s="4" t="e">
        <f>IF(A26&lt;('2. Inputs and results'!$B$23+1),R25+G26+I26+H26+J26+T26-$V$6,NA())</f>
        <v>#N/A</v>
      </c>
      <c r="S26" s="4" t="str">
        <f>IF(A26&lt;('2. Inputs and results'!$B$23+1),'2. Inputs and results'!$B$81*(R25)," ")</f>
        <v xml:space="preserve"> </v>
      </c>
      <c r="T26" s="4">
        <f t="shared" si="1"/>
        <v>0</v>
      </c>
      <c r="U26" s="4" t="e">
        <f>IF(A26&lt;('2. Inputs and results'!$B$23+1),U25+(T26+I26+G26+H26+J26-$V$6)/((1+$P$2)^A26),NA())</f>
        <v>#N/A</v>
      </c>
      <c r="V26" s="4" t="str">
        <f>IF(A26&lt;('2. Inputs and results'!$B$23+1),V25+('2. Inputs and results'!$B$77*'2. Inputs and results'!$B$75)," ")</f>
        <v xml:space="preserve"> </v>
      </c>
      <c r="W26" s="4" t="e">
        <f>IF(A26&lt;('2. Inputs and results'!$B$23+1),W25+C26+Y26-$V$6,NA())</f>
        <v>#N/A</v>
      </c>
      <c r="X26" s="4" t="str">
        <f>IF(A26&lt;('2. Inputs and results'!$B$23+1),'2. Inputs and results'!$B$81*W25," ")</f>
        <v xml:space="preserve"> </v>
      </c>
      <c r="Y26" s="4">
        <f t="shared" si="2"/>
        <v>0</v>
      </c>
      <c r="Z26" s="4" t="e">
        <f>IF(A26&lt;('2. Inputs and results'!$B$23+1),Z25+(C26-$V$6+Y26)/((1+$P$2)^A26),NA())</f>
        <v>#N/A</v>
      </c>
      <c r="AA26" s="4" t="str">
        <f>IF(A26&lt;('2. Inputs and results'!$B$23+1),AA25+(G26+I26+H26+T26-$V$6)," ")</f>
        <v xml:space="preserve"> </v>
      </c>
      <c r="AB26" s="11" t="e">
        <f>IF(A26&lt;('2. Inputs and results'!$B$23+1),AA26/L26,NA())</f>
        <v>#N/A</v>
      </c>
      <c r="AC26" s="12" t="str">
        <f>IF(A26&lt;('2. Inputs and results'!$B$23+1),AC25+(C26+Y26-$V$6)," ")</f>
        <v xml:space="preserve"> </v>
      </c>
      <c r="AD26" s="11" t="e">
        <f>IF(A26&lt;('2. Inputs and results'!$B$23+1),AC26/L26,NA())</f>
        <v>#N/A</v>
      </c>
      <c r="AE26" t="str">
        <f>IF(A26&lt;('2. Inputs and results'!$B$23+1),-'2. Inputs and results'!$B$124*A26," ")</f>
        <v xml:space="preserve"> </v>
      </c>
      <c r="AF26" t="e">
        <f>IF(A26&lt;('2. Inputs and results'!$B$23+1),AE26/1000,NA())</f>
        <v>#N/A</v>
      </c>
    </row>
    <row r="27" spans="1:32">
      <c r="A27">
        <f t="shared" si="0"/>
        <v>22</v>
      </c>
      <c r="B27" t="str">
        <f>IF(A27&lt;('2. Inputs and results'!$B$23+1),A27," ")</f>
        <v xml:space="preserve"> </v>
      </c>
      <c r="C27" s="4" t="str">
        <f>IF(A27&lt;('2. Inputs and results'!$B$23+1),'2. Inputs and results'!$B$101+'2. Inputs and results'!$B$103," ")</f>
        <v xml:space="preserve"> </v>
      </c>
      <c r="D27" s="4" t="e">
        <f>IF(A27&lt;('2. Inputs and results'!$B$23+1),D26+C27,NA())</f>
        <v>#N/A</v>
      </c>
      <c r="E27" s="4" t="str">
        <f>IF(B27&lt;('2. Inputs and results'!$B$23+1),C27/((1+$P$2)^A27)," ")</f>
        <v xml:space="preserve"> </v>
      </c>
      <c r="F27" s="4" t="str">
        <f>IF(A27&lt;('2. Inputs and results'!$B$23+1),F26+E27," ")</f>
        <v xml:space="preserve"> </v>
      </c>
      <c r="G27" s="4" t="str">
        <f>IF(A27&lt;('2. Inputs and results'!$B$23+1),G26*(1+'2. Inputs and results'!$B$48)," ")</f>
        <v xml:space="preserve"> </v>
      </c>
      <c r="H27" s="4" t="str">
        <f>IF(A27&lt;('2. Inputs and results'!$B$23+1),H26*(1+'2. Inputs and results'!$B$60)," ")</f>
        <v xml:space="preserve"> </v>
      </c>
      <c r="I27" s="4" t="str">
        <f>IF(A27&lt;('2. Inputs and results'!$B$23+1),I26*(1+'2. Inputs and results'!$B$36)," ")</f>
        <v xml:space="preserve"> </v>
      </c>
      <c r="J27" s="4" t="str">
        <f>IF(A27&lt;('2. Inputs and results'!$B$23+1),J26*(1+'2. Inputs and results'!$B$70)," ")</f>
        <v xml:space="preserve"> </v>
      </c>
      <c r="K27" s="4" t="e">
        <f>IF('Solution 1, (hidden) (2)'!A27&lt;('2. Inputs and results'!$B$23+1),K26+(G27+I27+H27+J27),NA())</f>
        <v>#N/A</v>
      </c>
      <c r="L27" s="4" t="e">
        <f>IF(A27&lt;('2. Inputs and results'!$B$23+1),L26,NA())</f>
        <v>#N/A</v>
      </c>
      <c r="M27" s="4" t="str">
        <f>IF(A27&lt;('2. Inputs and results'!$B$23+1),'2. Inputs and results'!$B$77*'2. Inputs and results'!$B$75," ")</f>
        <v xml:space="preserve"> </v>
      </c>
      <c r="N27" s="4" t="str">
        <f>IF(A27&lt;('2. Inputs and results'!$B$23+1),M27/((1+$P$2)^A27)," ")</f>
        <v xml:space="preserve"> </v>
      </c>
      <c r="O27" s="4" t="str">
        <f>IF(A27&lt;('2. Inputs and results'!$B$23+1),'2. Inputs and results'!$B$75*'2. Inputs and results'!$B$77+O26," ")</f>
        <v xml:space="preserve"> </v>
      </c>
      <c r="P27" s="4" t="str">
        <f>IF(A27&lt;('2. Inputs and results'!$B$23+1),(G27+I27+H27+J27)/((1+$P$2)^A27)," ")</f>
        <v xml:space="preserve"> </v>
      </c>
      <c r="Q27" s="4" t="str">
        <f>IF(A27&lt;('2. Inputs and results'!$B$23+1),Q26+P27," ")</f>
        <v xml:space="preserve"> </v>
      </c>
      <c r="R27" s="4" t="e">
        <f>IF(A27&lt;('2. Inputs and results'!$B$23+1),R26+G27+I27+H27+J27+T27-$V$6,NA())</f>
        <v>#N/A</v>
      </c>
      <c r="S27" s="4" t="str">
        <f>IF(A27&lt;('2. Inputs and results'!$B$23+1),'2. Inputs and results'!$B$81*(R26)," ")</f>
        <v xml:space="preserve"> </v>
      </c>
      <c r="T27" s="4">
        <f t="shared" si="1"/>
        <v>0</v>
      </c>
      <c r="U27" s="4" t="e">
        <f>IF(A27&lt;('2. Inputs and results'!$B$23+1),U26+(T27+I27+G27+H27+J27-$V$6)/((1+$P$2)^A27),NA())</f>
        <v>#N/A</v>
      </c>
      <c r="V27" s="4" t="str">
        <f>IF(A27&lt;('2. Inputs and results'!$B$23+1),V26+('2. Inputs and results'!$B$77*'2. Inputs and results'!$B$75)," ")</f>
        <v xml:space="preserve"> </v>
      </c>
      <c r="W27" s="4" t="e">
        <f>IF(A27&lt;('2. Inputs and results'!$B$23+1),W26+C27+Y27-$V$6,NA())</f>
        <v>#N/A</v>
      </c>
      <c r="X27" s="4" t="str">
        <f>IF(A27&lt;('2. Inputs and results'!$B$23+1),'2. Inputs and results'!$B$81*W26," ")</f>
        <v xml:space="preserve"> </v>
      </c>
      <c r="Y27" s="4">
        <f t="shared" si="2"/>
        <v>0</v>
      </c>
      <c r="Z27" s="4" t="e">
        <f>IF(A27&lt;('2. Inputs and results'!$B$23+1),Z26+(C27-$V$6+Y27)/((1+$P$2)^A27),NA())</f>
        <v>#N/A</v>
      </c>
      <c r="AA27" s="4" t="str">
        <f>IF(A27&lt;('2. Inputs and results'!$B$23+1),AA26+(G27+I27+H27+T27-$V$6)," ")</f>
        <v xml:space="preserve"> </v>
      </c>
      <c r="AB27" s="11" t="e">
        <f>IF(A27&lt;('2. Inputs and results'!$B$23+1),AA27/L27,NA())</f>
        <v>#N/A</v>
      </c>
      <c r="AC27" s="12" t="str">
        <f>IF(A27&lt;('2. Inputs and results'!$B$23+1),AC26+(C27+Y27-$V$6)," ")</f>
        <v xml:space="preserve"> </v>
      </c>
      <c r="AD27" s="11" t="e">
        <f>IF(A27&lt;('2. Inputs and results'!$B$23+1),AC27/L27,NA())</f>
        <v>#N/A</v>
      </c>
      <c r="AE27" t="str">
        <f>IF(A27&lt;('2. Inputs and results'!$B$23+1),-'2. Inputs and results'!$B$124*A27," ")</f>
        <v xml:space="preserve"> </v>
      </c>
      <c r="AF27" t="e">
        <f>IF(A27&lt;('2. Inputs and results'!$B$23+1),AE27/1000,NA())</f>
        <v>#N/A</v>
      </c>
    </row>
    <row r="28" spans="1:32">
      <c r="A28">
        <f t="shared" si="0"/>
        <v>23</v>
      </c>
      <c r="B28" t="str">
        <f>IF(A28&lt;('2. Inputs and results'!$B$23+1),A28," ")</f>
        <v xml:space="preserve"> </v>
      </c>
      <c r="C28" s="4" t="str">
        <f>IF(A28&lt;('2. Inputs and results'!$B$23+1),'2. Inputs and results'!$B$101+'2. Inputs and results'!$B$103," ")</f>
        <v xml:space="preserve"> </v>
      </c>
      <c r="D28" s="4" t="e">
        <f>IF(A28&lt;('2. Inputs and results'!$B$23+1),D27+C28,NA())</f>
        <v>#N/A</v>
      </c>
      <c r="E28" s="4" t="str">
        <f>IF(B28&lt;('2. Inputs and results'!$B$23+1),C28/((1+$P$2)^A28)," ")</f>
        <v xml:space="preserve"> </v>
      </c>
      <c r="F28" s="4" t="str">
        <f>IF(A28&lt;('2. Inputs and results'!$B$23+1),F27+E28," ")</f>
        <v xml:space="preserve"> </v>
      </c>
      <c r="G28" s="4" t="str">
        <f>IF(A28&lt;('2. Inputs and results'!$B$23+1),G27*(1+'2. Inputs and results'!$B$48)," ")</f>
        <v xml:space="preserve"> </v>
      </c>
      <c r="H28" s="4" t="str">
        <f>IF(A28&lt;('2. Inputs and results'!$B$23+1),H27*(1+'2. Inputs and results'!$B$60)," ")</f>
        <v xml:space="preserve"> </v>
      </c>
      <c r="I28" s="4" t="str">
        <f>IF(A28&lt;('2. Inputs and results'!$B$23+1),I27*(1+'2. Inputs and results'!$B$36)," ")</f>
        <v xml:space="preserve"> </v>
      </c>
      <c r="J28" s="4" t="str">
        <f>IF(A28&lt;('2. Inputs and results'!$B$23+1),J27*(1+'2. Inputs and results'!$B$70)," ")</f>
        <v xml:space="preserve"> </v>
      </c>
      <c r="K28" s="4" t="e">
        <f>IF('Solution 1, (hidden) (2)'!A28&lt;('2. Inputs and results'!$B$23+1),K27+(G28+I28+H28+J28),NA())</f>
        <v>#N/A</v>
      </c>
      <c r="L28" s="4" t="e">
        <f>IF(A28&lt;('2. Inputs and results'!$B$23+1),L27,NA())</f>
        <v>#N/A</v>
      </c>
      <c r="M28" s="4" t="str">
        <f>IF(A28&lt;('2. Inputs and results'!$B$23+1),'2. Inputs and results'!$B$77*'2. Inputs and results'!$B$75," ")</f>
        <v xml:space="preserve"> </v>
      </c>
      <c r="N28" s="4" t="str">
        <f>IF(A28&lt;('2. Inputs and results'!$B$23+1),M28/((1+$P$2)^A28)," ")</f>
        <v xml:space="preserve"> </v>
      </c>
      <c r="O28" s="4" t="str">
        <f>IF(A28&lt;('2. Inputs and results'!$B$23+1),'2. Inputs and results'!$B$75*'2. Inputs and results'!$B$77+O27," ")</f>
        <v xml:space="preserve"> </v>
      </c>
      <c r="P28" s="4" t="str">
        <f>IF(A28&lt;('2. Inputs and results'!$B$23+1),(G28+I28+H28+J28)/((1+$P$2)^A28)," ")</f>
        <v xml:space="preserve"> </v>
      </c>
      <c r="Q28" s="4" t="str">
        <f>IF(A28&lt;('2. Inputs and results'!$B$23+1),Q27+P28," ")</f>
        <v xml:space="preserve"> </v>
      </c>
      <c r="R28" s="4" t="e">
        <f>IF(A28&lt;('2. Inputs and results'!$B$23+1),R27+G28+I28+H28+J28+T28-$V$6,NA())</f>
        <v>#N/A</v>
      </c>
      <c r="S28" s="4" t="str">
        <f>IF(A28&lt;('2. Inputs and results'!$B$23+1),'2. Inputs and results'!$B$81*(R27)," ")</f>
        <v xml:space="preserve"> </v>
      </c>
      <c r="T28" s="4">
        <f t="shared" si="1"/>
        <v>0</v>
      </c>
      <c r="U28" s="4" t="e">
        <f>IF(A28&lt;('2. Inputs and results'!$B$23+1),U27+(T28+I28+G28+H28+J28-$V$6)/((1+$P$2)^A28),NA())</f>
        <v>#N/A</v>
      </c>
      <c r="V28" s="4" t="str">
        <f>IF(A28&lt;('2. Inputs and results'!$B$23+1),V27+('2. Inputs and results'!$B$77*'2. Inputs and results'!$B$75)," ")</f>
        <v xml:space="preserve"> </v>
      </c>
      <c r="W28" s="4" t="e">
        <f>IF(A28&lt;('2. Inputs and results'!$B$23+1),W27+C28+Y28-$V$6,NA())</f>
        <v>#N/A</v>
      </c>
      <c r="X28" s="4" t="str">
        <f>IF(A28&lt;('2. Inputs and results'!$B$23+1),'2. Inputs and results'!$B$81*W27," ")</f>
        <v xml:space="preserve"> </v>
      </c>
      <c r="Y28" s="4">
        <f t="shared" si="2"/>
        <v>0</v>
      </c>
      <c r="Z28" s="4" t="e">
        <f>IF(A28&lt;('2. Inputs and results'!$B$23+1),Z27+(C28-$V$6+Y28)/((1+$P$2)^A28),NA())</f>
        <v>#N/A</v>
      </c>
      <c r="AA28" s="4" t="str">
        <f>IF(A28&lt;('2. Inputs and results'!$B$23+1),AA27+(G28+I28+H28+T28-$V$6)," ")</f>
        <v xml:space="preserve"> </v>
      </c>
      <c r="AB28" s="11" t="e">
        <f>IF(A28&lt;('2. Inputs and results'!$B$23+1),AA28/L28,NA())</f>
        <v>#N/A</v>
      </c>
      <c r="AC28" s="12" t="str">
        <f>IF(A28&lt;('2. Inputs and results'!$B$23+1),AC27+(C28+Y28-$V$6)," ")</f>
        <v xml:space="preserve"> </v>
      </c>
      <c r="AD28" s="11" t="e">
        <f>IF(A28&lt;('2. Inputs and results'!$B$23+1),AC28/L28,NA())</f>
        <v>#N/A</v>
      </c>
      <c r="AE28" t="str">
        <f>IF(A28&lt;('2. Inputs and results'!$B$23+1),-'2. Inputs and results'!$B$124*A28," ")</f>
        <v xml:space="preserve"> </v>
      </c>
      <c r="AF28" t="e">
        <f>IF(A28&lt;('2. Inputs and results'!$B$23+1),AE28/1000,NA())</f>
        <v>#N/A</v>
      </c>
    </row>
    <row r="29" spans="1:32">
      <c r="A29">
        <f t="shared" si="0"/>
        <v>24</v>
      </c>
      <c r="B29" t="str">
        <f>IF(A29&lt;('2. Inputs and results'!$B$23+1),A29," ")</f>
        <v xml:space="preserve"> </v>
      </c>
      <c r="C29" s="4" t="str">
        <f>IF(A29&lt;('2. Inputs and results'!$B$23+1),'2. Inputs and results'!$B$101+'2. Inputs and results'!$B$103," ")</f>
        <v xml:space="preserve"> </v>
      </c>
      <c r="D29" s="4" t="e">
        <f>IF(A29&lt;('2. Inputs and results'!$B$23+1),D28+C29,NA())</f>
        <v>#N/A</v>
      </c>
      <c r="E29" s="4" t="str">
        <f>IF(B29&lt;('2. Inputs and results'!$B$23+1),C29/((1+$P$2)^A29)," ")</f>
        <v xml:space="preserve"> </v>
      </c>
      <c r="F29" s="4" t="str">
        <f>IF(A29&lt;('2. Inputs and results'!$B$23+1),F28+E29," ")</f>
        <v xml:space="preserve"> </v>
      </c>
      <c r="G29" s="4" t="str">
        <f>IF(A29&lt;('2. Inputs and results'!$B$23+1),G28*(1+'2. Inputs and results'!$B$48)," ")</f>
        <v xml:space="preserve"> </v>
      </c>
      <c r="H29" s="4" t="str">
        <f>IF(A29&lt;('2. Inputs and results'!$B$23+1),H28*(1+'2. Inputs and results'!$B$60)," ")</f>
        <v xml:space="preserve"> </v>
      </c>
      <c r="I29" s="4" t="str">
        <f>IF(A29&lt;('2. Inputs and results'!$B$23+1),I28*(1+'2. Inputs and results'!$B$36)," ")</f>
        <v xml:space="preserve"> </v>
      </c>
      <c r="J29" s="4" t="str">
        <f>IF(A29&lt;('2. Inputs and results'!$B$23+1),J28*(1+'2. Inputs and results'!$B$70)," ")</f>
        <v xml:space="preserve"> </v>
      </c>
      <c r="K29" s="4" t="e">
        <f>IF('Solution 1, (hidden) (2)'!A29&lt;('2. Inputs and results'!$B$23+1),K28+(G29+I29+H29+J29),NA())</f>
        <v>#N/A</v>
      </c>
      <c r="L29" s="4" t="e">
        <f>IF(A29&lt;('2. Inputs and results'!$B$23+1),L28,NA())</f>
        <v>#N/A</v>
      </c>
      <c r="M29" s="4" t="str">
        <f>IF(A29&lt;('2. Inputs and results'!$B$23+1),'2. Inputs and results'!$B$77*'2. Inputs and results'!$B$75," ")</f>
        <v xml:space="preserve"> </v>
      </c>
      <c r="N29" s="4" t="str">
        <f>IF(A29&lt;('2. Inputs and results'!$B$23+1),M29/((1+$P$2)^A29)," ")</f>
        <v xml:space="preserve"> </v>
      </c>
      <c r="O29" s="4" t="str">
        <f>IF(A29&lt;('2. Inputs and results'!$B$23+1),'2. Inputs and results'!$B$75*'2. Inputs and results'!$B$77+O28," ")</f>
        <v xml:space="preserve"> </v>
      </c>
      <c r="P29" s="4" t="str">
        <f>IF(A29&lt;('2. Inputs and results'!$B$23+1),(G29+I29+H29+J29)/((1+$P$2)^A29)," ")</f>
        <v xml:space="preserve"> </v>
      </c>
      <c r="Q29" s="4" t="str">
        <f>IF(A29&lt;('2. Inputs and results'!$B$23+1),Q28+P29," ")</f>
        <v xml:space="preserve"> </v>
      </c>
      <c r="R29" s="4" t="e">
        <f>IF(A29&lt;('2. Inputs and results'!$B$23+1),R28+G29+I29+H29+J29+T29-$V$6,NA())</f>
        <v>#N/A</v>
      </c>
      <c r="S29" s="4" t="str">
        <f>IF(A29&lt;('2. Inputs and results'!$B$23+1),'2. Inputs and results'!$B$81*(R28)," ")</f>
        <v xml:space="preserve"> </v>
      </c>
      <c r="T29" s="4">
        <f t="shared" si="1"/>
        <v>0</v>
      </c>
      <c r="U29" s="4" t="e">
        <f>IF(A29&lt;('2. Inputs and results'!$B$23+1),U28+(T29+I29+G29+H29+J29-$V$6)/((1+$P$2)^A29),NA())</f>
        <v>#N/A</v>
      </c>
      <c r="V29" s="4" t="str">
        <f>IF(A29&lt;('2. Inputs and results'!$B$23+1),V28+('2. Inputs and results'!$B$77*'2. Inputs and results'!$B$75)," ")</f>
        <v xml:space="preserve"> </v>
      </c>
      <c r="W29" s="4" t="e">
        <f>IF(A29&lt;('2. Inputs and results'!$B$23+1),W28+C29+Y29-$V$6,NA())</f>
        <v>#N/A</v>
      </c>
      <c r="X29" s="4" t="str">
        <f>IF(A29&lt;('2. Inputs and results'!$B$23+1),'2. Inputs and results'!$B$81*W28," ")</f>
        <v xml:space="preserve"> </v>
      </c>
      <c r="Y29" s="4">
        <f t="shared" si="2"/>
        <v>0</v>
      </c>
      <c r="Z29" s="4" t="e">
        <f>IF(A29&lt;('2. Inputs and results'!$B$23+1),Z28+(C29-$V$6+Y29)/((1+$P$2)^A29),NA())</f>
        <v>#N/A</v>
      </c>
      <c r="AA29" s="4" t="str">
        <f>IF(A29&lt;('2. Inputs and results'!$B$23+1),AA28+(G29+I29+H29+T29-$V$6)," ")</f>
        <v xml:space="preserve"> </v>
      </c>
      <c r="AB29" s="11" t="e">
        <f>IF(A29&lt;('2. Inputs and results'!$B$23+1),AA29/L29,NA())</f>
        <v>#N/A</v>
      </c>
      <c r="AC29" s="12" t="str">
        <f>IF(A29&lt;('2. Inputs and results'!$B$23+1),AC28+(C29+Y29-$V$6)," ")</f>
        <v xml:space="preserve"> </v>
      </c>
      <c r="AD29" s="11" t="e">
        <f>IF(A29&lt;('2. Inputs and results'!$B$23+1),AC29/L29,NA())</f>
        <v>#N/A</v>
      </c>
      <c r="AE29" t="str">
        <f>IF(A29&lt;('2. Inputs and results'!$B$23+1),-'2. Inputs and results'!$B$124*A29," ")</f>
        <v xml:space="preserve"> </v>
      </c>
      <c r="AF29" t="e">
        <f>IF(A29&lt;('2. Inputs and results'!$B$23+1),AE29/1000,NA())</f>
        <v>#N/A</v>
      </c>
    </row>
    <row r="30" spans="1:32">
      <c r="A30">
        <f t="shared" si="0"/>
        <v>25</v>
      </c>
      <c r="B30" t="str">
        <f>IF(A30&lt;('2. Inputs and results'!$B$23+1),A30," ")</f>
        <v xml:space="preserve"> </v>
      </c>
      <c r="C30" s="4" t="str">
        <f>IF(A30&lt;('2. Inputs and results'!$B$23+1),'2. Inputs and results'!$B$101+'2. Inputs and results'!$B$103," ")</f>
        <v xml:space="preserve"> </v>
      </c>
      <c r="D30" s="4" t="e">
        <f>IF(A30&lt;('2. Inputs and results'!$B$23+1),D29+C30,NA())</f>
        <v>#N/A</v>
      </c>
      <c r="E30" s="4" t="str">
        <f>IF(B30&lt;('2. Inputs and results'!$B$23+1),C30/((1+$P$2)^A30)," ")</f>
        <v xml:space="preserve"> </v>
      </c>
      <c r="F30" s="4" t="str">
        <f>IF(A30&lt;('2. Inputs and results'!$B$23+1),F29+E30," ")</f>
        <v xml:space="preserve"> </v>
      </c>
      <c r="G30" s="4" t="str">
        <f>IF(A30&lt;('2. Inputs and results'!$B$23+1),G29*(1+'2. Inputs and results'!$B$48)," ")</f>
        <v xml:space="preserve"> </v>
      </c>
      <c r="H30" s="4" t="str">
        <f>IF(A30&lt;('2. Inputs and results'!$B$23+1),H29*(1+'2. Inputs and results'!$B$60)," ")</f>
        <v xml:space="preserve"> </v>
      </c>
      <c r="I30" s="4" t="str">
        <f>IF(A30&lt;('2. Inputs and results'!$B$23+1),I29*(1+'2. Inputs and results'!$B$36)," ")</f>
        <v xml:space="preserve"> </v>
      </c>
      <c r="J30" s="4" t="str">
        <f>IF(A30&lt;('2. Inputs and results'!$B$23+1),J29*(1+'2. Inputs and results'!$B$70)," ")</f>
        <v xml:space="preserve"> </v>
      </c>
      <c r="K30" s="4" t="e">
        <f>IF('Solution 1, (hidden) (2)'!A30&lt;('2. Inputs and results'!$B$23+1),K29+(G30+I30+H30+J30),NA())</f>
        <v>#N/A</v>
      </c>
      <c r="L30" s="4" t="e">
        <f>IF(A30&lt;('2. Inputs and results'!$B$23+1),L29,NA())</f>
        <v>#N/A</v>
      </c>
      <c r="M30" s="4" t="str">
        <f>IF(A30&lt;('2. Inputs and results'!$B$23+1),'2. Inputs and results'!$B$77*'2. Inputs and results'!$B$75," ")</f>
        <v xml:space="preserve"> </v>
      </c>
      <c r="N30" s="4" t="str">
        <f>IF(A30&lt;('2. Inputs and results'!$B$23+1),M30/((1+$P$2)^A30)," ")</f>
        <v xml:space="preserve"> </v>
      </c>
      <c r="O30" s="4" t="str">
        <f>IF(A30&lt;('2. Inputs and results'!$B$23+1),'2. Inputs and results'!$B$75*'2. Inputs and results'!$B$77+O29," ")</f>
        <v xml:space="preserve"> </v>
      </c>
      <c r="P30" s="4" t="str">
        <f>IF(A30&lt;('2. Inputs and results'!$B$23+1),(G30+I30+H30+J30)/((1+$P$2)^A30)," ")</f>
        <v xml:space="preserve"> </v>
      </c>
      <c r="Q30" s="4" t="str">
        <f>IF(A30&lt;('2. Inputs and results'!$B$23+1),Q29+P30," ")</f>
        <v xml:space="preserve"> </v>
      </c>
      <c r="R30" s="4" t="e">
        <f>IF(A30&lt;('2. Inputs and results'!$B$23+1),R29+G30+I30+H30+J30+T30-$V$6,NA())</f>
        <v>#N/A</v>
      </c>
      <c r="S30" s="4" t="str">
        <f>IF(A30&lt;('2. Inputs and results'!$B$23+1),'2. Inputs and results'!$B$81*(R29)," ")</f>
        <v xml:space="preserve"> </v>
      </c>
      <c r="T30" s="4">
        <f t="shared" si="1"/>
        <v>0</v>
      </c>
      <c r="U30" s="4" t="e">
        <f>IF(A30&lt;('2. Inputs and results'!$B$23+1),U29+(T30+I30+G30+H30+J30-$V$6)/((1+$P$2)^A30),NA())</f>
        <v>#N/A</v>
      </c>
      <c r="V30" s="4" t="str">
        <f>IF(A30&lt;('2. Inputs and results'!$B$23+1),V29+('2. Inputs and results'!$B$77*'2. Inputs and results'!$B$75)," ")</f>
        <v xml:space="preserve"> </v>
      </c>
      <c r="W30" s="4" t="e">
        <f>IF(A30&lt;('2. Inputs and results'!$B$23+1),W29+C30+Y30-$V$6,NA())</f>
        <v>#N/A</v>
      </c>
      <c r="X30" s="4" t="str">
        <f>IF(A30&lt;('2. Inputs and results'!$B$23+1),'2. Inputs and results'!$B$81*W29," ")</f>
        <v xml:space="preserve"> </v>
      </c>
      <c r="Y30" s="4">
        <f t="shared" si="2"/>
        <v>0</v>
      </c>
      <c r="Z30" s="4" t="e">
        <f>IF(A30&lt;('2. Inputs and results'!$B$23+1),Z29+(C30-$V$6+Y30)/((1+$P$2)^A30),NA())</f>
        <v>#N/A</v>
      </c>
      <c r="AA30" s="4" t="str">
        <f>IF(A30&lt;('2. Inputs and results'!$B$23+1),AA29+(G30+I30+H30+T30-$V$6)," ")</f>
        <v xml:space="preserve"> </v>
      </c>
      <c r="AB30" s="11" t="e">
        <f>IF(A30&lt;('2. Inputs and results'!$B$23+1),AA30/L30,NA())</f>
        <v>#N/A</v>
      </c>
      <c r="AC30" s="12" t="str">
        <f>IF(A30&lt;('2. Inputs and results'!$B$23+1),AC29+(C30+Y30-$V$6)," ")</f>
        <v xml:space="preserve"> </v>
      </c>
      <c r="AD30" s="11" t="e">
        <f>IF(A30&lt;('2. Inputs and results'!$B$23+1),AC30/L30,NA())</f>
        <v>#N/A</v>
      </c>
      <c r="AE30" t="str">
        <f>IF(A30&lt;('2. Inputs and results'!$B$23+1),-'2. Inputs and results'!$B$124*A30," ")</f>
        <v xml:space="preserve"> </v>
      </c>
      <c r="AF30" t="e">
        <f>IF(A30&lt;('2. Inputs and results'!$B$23+1),AE30/1000,NA())</f>
        <v>#N/A</v>
      </c>
    </row>
    <row r="31" spans="1:32">
      <c r="A31">
        <f t="shared" si="0"/>
        <v>26</v>
      </c>
      <c r="B31" t="str">
        <f>IF(A31&lt;('2. Inputs and results'!$B$23+1),A31," ")</f>
        <v xml:space="preserve"> </v>
      </c>
      <c r="C31" s="4" t="str">
        <f>IF(A31&lt;('2. Inputs and results'!$B$23+1),'2. Inputs and results'!$B$101+'2. Inputs and results'!$B$103," ")</f>
        <v xml:space="preserve"> </v>
      </c>
      <c r="D31" s="4" t="e">
        <f>IF(A31&lt;('2. Inputs and results'!$B$23+1),D30+C31,NA())</f>
        <v>#N/A</v>
      </c>
      <c r="E31" s="4" t="str">
        <f>IF(B31&lt;('2. Inputs and results'!$B$23+1),C31/((1+$P$2)^A31)," ")</f>
        <v xml:space="preserve"> </v>
      </c>
      <c r="F31" s="4" t="str">
        <f>IF(A31&lt;('2. Inputs and results'!$B$23+1),F30+E31," ")</f>
        <v xml:space="preserve"> </v>
      </c>
      <c r="G31" s="4" t="str">
        <f>IF(A31&lt;('2. Inputs and results'!$B$23+1),G30*(1+'2. Inputs and results'!$B$48)," ")</f>
        <v xml:space="preserve"> </v>
      </c>
      <c r="H31" s="4" t="str">
        <f>IF(A31&lt;('2. Inputs and results'!$B$23+1),H30*(1+'2. Inputs and results'!$B$60)," ")</f>
        <v xml:space="preserve"> </v>
      </c>
      <c r="I31" s="4" t="str">
        <f>IF(A31&lt;('2. Inputs and results'!$B$23+1),I30*(1+'2. Inputs and results'!$B$36)," ")</f>
        <v xml:space="preserve"> </v>
      </c>
      <c r="J31" s="4" t="str">
        <f>IF(A31&lt;('2. Inputs and results'!$B$23+1),J30*(1+'2. Inputs and results'!$B$70)," ")</f>
        <v xml:space="preserve"> </v>
      </c>
      <c r="K31" s="4" t="e">
        <f>IF('Solution 1, (hidden) (2)'!A31&lt;('2. Inputs and results'!$B$23+1),K30+(G31+I31+H31+J31),NA())</f>
        <v>#N/A</v>
      </c>
      <c r="L31" s="4" t="e">
        <f>IF(A31&lt;('2. Inputs and results'!$B$23+1),L30,NA())</f>
        <v>#N/A</v>
      </c>
      <c r="M31" s="4" t="str">
        <f>IF(A31&lt;('2. Inputs and results'!$B$23+1),'2. Inputs and results'!$B$77*'2. Inputs and results'!$B$75," ")</f>
        <v xml:space="preserve"> </v>
      </c>
      <c r="N31" s="4" t="str">
        <f>IF(A31&lt;('2. Inputs and results'!$B$23+1),M31/((1+$P$2)^A31)," ")</f>
        <v xml:space="preserve"> </v>
      </c>
      <c r="O31" s="4" t="str">
        <f>IF(A31&lt;('2. Inputs and results'!$B$23+1),'2. Inputs and results'!$B$75*'2. Inputs and results'!$B$77+O30," ")</f>
        <v xml:space="preserve"> </v>
      </c>
      <c r="P31" s="4" t="str">
        <f>IF(A31&lt;('2. Inputs and results'!$B$23+1),(G31+I31+H31+J31)/((1+$P$2)^A31)," ")</f>
        <v xml:space="preserve"> </v>
      </c>
      <c r="Q31" s="4" t="str">
        <f>IF(A31&lt;('2. Inputs and results'!$B$23+1),Q30+P31," ")</f>
        <v xml:space="preserve"> </v>
      </c>
      <c r="R31" s="4" t="e">
        <f>IF(A31&lt;('2. Inputs and results'!$B$23+1),R30+G31+I31+H31+J31+T31-$V$6,NA())</f>
        <v>#N/A</v>
      </c>
      <c r="S31" s="4" t="str">
        <f>IF(A31&lt;('2. Inputs and results'!$B$23+1),'2. Inputs and results'!$B$81*(R30)," ")</f>
        <v xml:space="preserve"> </v>
      </c>
      <c r="T31" s="4">
        <f t="shared" si="1"/>
        <v>0</v>
      </c>
      <c r="U31" s="4" t="e">
        <f>IF(A31&lt;('2. Inputs and results'!$B$23+1),U30+(T31+I31+G31+H31+J31-$V$6)/((1+$P$2)^A31),NA())</f>
        <v>#N/A</v>
      </c>
      <c r="V31" s="4" t="str">
        <f>IF(A31&lt;('2. Inputs and results'!$B$23+1),V30+('2. Inputs and results'!$B$77*'2. Inputs and results'!$B$75)," ")</f>
        <v xml:space="preserve"> </v>
      </c>
      <c r="W31" s="4" t="e">
        <f>IF(A31&lt;('2. Inputs and results'!$B$23+1),W30+C31+Y31-$V$6,NA())</f>
        <v>#N/A</v>
      </c>
      <c r="X31" s="4" t="str">
        <f>IF(A31&lt;('2. Inputs and results'!$B$23+1),'2. Inputs and results'!$B$81*W30," ")</f>
        <v xml:space="preserve"> </v>
      </c>
      <c r="Y31" s="4">
        <f t="shared" si="2"/>
        <v>0</v>
      </c>
      <c r="Z31" s="4" t="e">
        <f>IF(A31&lt;('2. Inputs and results'!$B$23+1),Z30+(C31-$V$6+Y31)/((1+$P$2)^A31),NA())</f>
        <v>#N/A</v>
      </c>
      <c r="AA31" s="4" t="str">
        <f>IF(A31&lt;('2. Inputs and results'!$B$23+1),AA30+(G31+I31+H31+T31-$V$6)," ")</f>
        <v xml:space="preserve"> </v>
      </c>
      <c r="AB31" s="11" t="e">
        <f>IF(A31&lt;('2. Inputs and results'!$B$23+1),AA31/L31,NA())</f>
        <v>#N/A</v>
      </c>
      <c r="AC31" s="12" t="str">
        <f>IF(A31&lt;('2. Inputs and results'!$B$23+1),AC30+(C31+Y31-$V$6)," ")</f>
        <v xml:space="preserve"> </v>
      </c>
      <c r="AD31" s="11" t="e">
        <f>IF(A31&lt;('2. Inputs and results'!$B$23+1),AC31/L31,NA())</f>
        <v>#N/A</v>
      </c>
      <c r="AE31" t="str">
        <f>IF(A31&lt;('2. Inputs and results'!$B$23+1),-'2. Inputs and results'!$B$124*A31," ")</f>
        <v xml:space="preserve"> </v>
      </c>
      <c r="AF31" t="e">
        <f>IF(A31&lt;('2. Inputs and results'!$B$23+1),AE31/1000,NA())</f>
        <v>#N/A</v>
      </c>
    </row>
    <row r="32" spans="1:32">
      <c r="A32">
        <f t="shared" si="0"/>
        <v>27</v>
      </c>
      <c r="B32" t="str">
        <f>IF(A32&lt;('2. Inputs and results'!$B$23+1),A32," ")</f>
        <v xml:space="preserve"> </v>
      </c>
      <c r="C32" s="4" t="str">
        <f>IF(A32&lt;('2. Inputs and results'!$B$23+1),'2. Inputs and results'!$B$101+'2. Inputs and results'!$B$103," ")</f>
        <v xml:space="preserve"> </v>
      </c>
      <c r="D32" s="4" t="e">
        <f>IF(A32&lt;('2. Inputs and results'!$B$23+1),D31+C32,NA())</f>
        <v>#N/A</v>
      </c>
      <c r="E32" s="4" t="str">
        <f>IF(B32&lt;('2. Inputs and results'!$B$23+1),C32/((1+$P$2)^A32)," ")</f>
        <v xml:space="preserve"> </v>
      </c>
      <c r="F32" s="4" t="str">
        <f>IF(A32&lt;('2. Inputs and results'!$B$23+1),F31+E32," ")</f>
        <v xml:space="preserve"> </v>
      </c>
      <c r="G32" s="4" t="str">
        <f>IF(A32&lt;('2. Inputs and results'!$B$23+1),G31*(1+'2. Inputs and results'!$B$48)," ")</f>
        <v xml:space="preserve"> </v>
      </c>
      <c r="H32" s="4" t="str">
        <f>IF(A32&lt;('2. Inputs and results'!$B$23+1),H31*(1+'2. Inputs and results'!$B$60)," ")</f>
        <v xml:space="preserve"> </v>
      </c>
      <c r="I32" s="4" t="str">
        <f>IF(A32&lt;('2. Inputs and results'!$B$23+1),I31*(1+'2. Inputs and results'!$B$36)," ")</f>
        <v xml:space="preserve"> </v>
      </c>
      <c r="J32" s="4" t="str">
        <f>IF(A32&lt;('2. Inputs and results'!$B$23+1),J31*(1+'2. Inputs and results'!$B$70)," ")</f>
        <v xml:space="preserve"> </v>
      </c>
      <c r="K32" s="4" t="e">
        <f>IF('Solution 1, (hidden) (2)'!A32&lt;('2. Inputs and results'!$B$23+1),K31+(G32+I32+H32+J32),NA())</f>
        <v>#N/A</v>
      </c>
      <c r="L32" s="4" t="e">
        <f>IF(A32&lt;('2. Inputs and results'!$B$23+1),L31,NA())</f>
        <v>#N/A</v>
      </c>
      <c r="M32" s="4" t="str">
        <f>IF(A32&lt;('2. Inputs and results'!$B$23+1),'2. Inputs and results'!$B$77*'2. Inputs and results'!$B$75," ")</f>
        <v xml:space="preserve"> </v>
      </c>
      <c r="N32" s="4" t="str">
        <f>IF(A32&lt;('2. Inputs and results'!$B$23+1),M32/((1+$P$2)^A32)," ")</f>
        <v xml:space="preserve"> </v>
      </c>
      <c r="O32" s="4" t="str">
        <f>IF(A32&lt;('2. Inputs and results'!$B$23+1),'2. Inputs and results'!$B$75*'2. Inputs and results'!$B$77+O31," ")</f>
        <v xml:space="preserve"> </v>
      </c>
      <c r="P32" s="4" t="str">
        <f>IF(A32&lt;('2. Inputs and results'!$B$23+1),(G32+I32+H32+J32)/((1+$P$2)^A32)," ")</f>
        <v xml:space="preserve"> </v>
      </c>
      <c r="Q32" s="4" t="str">
        <f>IF(A32&lt;('2. Inputs and results'!$B$23+1),Q31+P32," ")</f>
        <v xml:space="preserve"> </v>
      </c>
      <c r="R32" s="4" t="e">
        <f>IF(A32&lt;('2. Inputs and results'!$B$23+1),R31+G32+I32+H32+J32+T32-$V$6,NA())</f>
        <v>#N/A</v>
      </c>
      <c r="S32" s="4" t="str">
        <f>IF(A32&lt;('2. Inputs and results'!$B$23+1),'2. Inputs and results'!$B$81*(R31)," ")</f>
        <v xml:space="preserve"> </v>
      </c>
      <c r="T32" s="4">
        <f t="shared" si="1"/>
        <v>0</v>
      </c>
      <c r="U32" s="4" t="e">
        <f>IF(A32&lt;('2. Inputs and results'!$B$23+1),U31+(T32+I32+G32+H32+J32-$V$6)/((1+$P$2)^A32),NA())</f>
        <v>#N/A</v>
      </c>
      <c r="V32" s="4" t="str">
        <f>IF(A32&lt;('2. Inputs and results'!$B$23+1),V31+('2. Inputs and results'!$B$77*'2. Inputs and results'!$B$75)," ")</f>
        <v xml:space="preserve"> </v>
      </c>
      <c r="W32" s="4" t="e">
        <f>IF(A32&lt;('2. Inputs and results'!$B$23+1),W31+C32+Y32-$V$6,NA())</f>
        <v>#N/A</v>
      </c>
      <c r="X32" s="4" t="str">
        <f>IF(A32&lt;('2. Inputs and results'!$B$23+1),'2. Inputs and results'!$B$81*W31," ")</f>
        <v xml:space="preserve"> </v>
      </c>
      <c r="Y32" s="4">
        <f t="shared" si="2"/>
        <v>0</v>
      </c>
      <c r="Z32" s="4" t="e">
        <f>IF(A32&lt;('2. Inputs and results'!$B$23+1),Z31+(C32-$V$6+Y32)/((1+$P$2)^A32),NA())</f>
        <v>#N/A</v>
      </c>
      <c r="AA32" s="4" t="str">
        <f>IF(A32&lt;('2. Inputs and results'!$B$23+1),AA31+(G32+I32+H32+T32-$V$6)," ")</f>
        <v xml:space="preserve"> </v>
      </c>
      <c r="AB32" s="11" t="e">
        <f>IF(A32&lt;('2. Inputs and results'!$B$23+1),AA32/L32,NA())</f>
        <v>#N/A</v>
      </c>
      <c r="AC32" s="12" t="str">
        <f>IF(A32&lt;('2. Inputs and results'!$B$23+1),AC31+(C32+Y32-$V$6)," ")</f>
        <v xml:space="preserve"> </v>
      </c>
      <c r="AD32" s="11" t="e">
        <f>IF(A32&lt;('2. Inputs and results'!$B$23+1),AC32/L32,NA())</f>
        <v>#N/A</v>
      </c>
      <c r="AE32" t="str">
        <f>IF(A32&lt;('2. Inputs and results'!$B$23+1),-'2. Inputs and results'!$B$124*A32," ")</f>
        <v xml:space="preserve"> </v>
      </c>
      <c r="AF32" t="e">
        <f>IF(A32&lt;('2. Inputs and results'!$B$23+1),AE32/1000,NA())</f>
        <v>#N/A</v>
      </c>
    </row>
    <row r="33" spans="1:32">
      <c r="A33">
        <f t="shared" si="0"/>
        <v>28</v>
      </c>
      <c r="B33" t="str">
        <f>IF(A33&lt;('2. Inputs and results'!$B$23+1),A33," ")</f>
        <v xml:space="preserve"> </v>
      </c>
      <c r="C33" s="4" t="str">
        <f>IF(A33&lt;('2. Inputs and results'!$B$23+1),'2. Inputs and results'!$B$101+'2. Inputs and results'!$B$103," ")</f>
        <v xml:space="preserve"> </v>
      </c>
      <c r="D33" s="4" t="e">
        <f>IF(A33&lt;('2. Inputs and results'!$B$23+1),D32+C33,NA())</f>
        <v>#N/A</v>
      </c>
      <c r="E33" s="4" t="str">
        <f>IF(B33&lt;('2. Inputs and results'!$B$23+1),C33/((1+$P$2)^A33)," ")</f>
        <v xml:space="preserve"> </v>
      </c>
      <c r="F33" s="4" t="str">
        <f>IF(A33&lt;('2. Inputs and results'!$B$23+1),F32+E33," ")</f>
        <v xml:space="preserve"> </v>
      </c>
      <c r="G33" s="4" t="str">
        <f>IF(A33&lt;('2. Inputs and results'!$B$23+1),G32*(1+'2. Inputs and results'!$B$48)," ")</f>
        <v xml:space="preserve"> </v>
      </c>
      <c r="H33" s="4" t="str">
        <f>IF(A33&lt;('2. Inputs and results'!$B$23+1),H32*(1+'2. Inputs and results'!$B$60)," ")</f>
        <v xml:space="preserve"> </v>
      </c>
      <c r="I33" s="4" t="str">
        <f>IF(A33&lt;('2. Inputs and results'!$B$23+1),I32*(1+'2. Inputs and results'!$B$36)," ")</f>
        <v xml:space="preserve"> </v>
      </c>
      <c r="J33" s="4" t="str">
        <f>IF(A33&lt;('2. Inputs and results'!$B$23+1),J32*(1+'2. Inputs and results'!$B$70)," ")</f>
        <v xml:space="preserve"> </v>
      </c>
      <c r="K33" s="4" t="e">
        <f>IF('Solution 1, (hidden) (2)'!A33&lt;('2. Inputs and results'!$B$23+1),K32+(G33+I33+H33+J33),NA())</f>
        <v>#N/A</v>
      </c>
      <c r="L33" s="4" t="e">
        <f>IF(A33&lt;('2. Inputs and results'!$B$23+1),L32,NA())</f>
        <v>#N/A</v>
      </c>
      <c r="M33" s="4" t="str">
        <f>IF(A33&lt;('2. Inputs and results'!$B$23+1),'2. Inputs and results'!$B$77*'2. Inputs and results'!$B$75," ")</f>
        <v xml:space="preserve"> </v>
      </c>
      <c r="N33" s="4" t="str">
        <f>IF(A33&lt;('2. Inputs and results'!$B$23+1),M33/((1+$P$2)^A33)," ")</f>
        <v xml:space="preserve"> </v>
      </c>
      <c r="O33" s="4" t="str">
        <f>IF(A33&lt;('2. Inputs and results'!$B$23+1),'2. Inputs and results'!$B$75*'2. Inputs and results'!$B$77+O32," ")</f>
        <v xml:space="preserve"> </v>
      </c>
      <c r="P33" s="4" t="str">
        <f>IF(A33&lt;('2. Inputs and results'!$B$23+1),(G33+I33+H33+J33)/((1+$P$2)^A33)," ")</f>
        <v xml:space="preserve"> </v>
      </c>
      <c r="Q33" s="4" t="str">
        <f>IF(A33&lt;('2. Inputs and results'!$B$23+1),Q32+P33," ")</f>
        <v xml:space="preserve"> </v>
      </c>
      <c r="R33" s="4" t="e">
        <f>IF(A33&lt;('2. Inputs and results'!$B$23+1),R32+G33+I33+H33+J33+T33-$V$6,NA())</f>
        <v>#N/A</v>
      </c>
      <c r="S33" s="4" t="str">
        <f>IF(A33&lt;('2. Inputs and results'!$B$23+1),'2. Inputs and results'!$B$81*(R32)," ")</f>
        <v xml:space="preserve"> </v>
      </c>
      <c r="T33" s="4">
        <f t="shared" si="1"/>
        <v>0</v>
      </c>
      <c r="U33" s="4" t="e">
        <f>IF(A33&lt;('2. Inputs and results'!$B$23+1),U32+(T33+I33+G33+H33+J33-$V$6)/((1+$P$2)^A33),NA())</f>
        <v>#N/A</v>
      </c>
      <c r="V33" s="4" t="str">
        <f>IF(A33&lt;('2. Inputs and results'!$B$23+1),V32+('2. Inputs and results'!$B$77*'2. Inputs and results'!$B$75)," ")</f>
        <v xml:space="preserve"> </v>
      </c>
      <c r="W33" s="4" t="e">
        <f>IF(A33&lt;('2. Inputs and results'!$B$23+1),W32+C33+Y33-$V$6,NA())</f>
        <v>#N/A</v>
      </c>
      <c r="X33" s="4" t="str">
        <f>IF(A33&lt;('2. Inputs and results'!$B$23+1),'2. Inputs and results'!$B$81*W32," ")</f>
        <v xml:space="preserve"> </v>
      </c>
      <c r="Y33" s="4">
        <f t="shared" si="2"/>
        <v>0</v>
      </c>
      <c r="Z33" s="4" t="e">
        <f>IF(A33&lt;('2. Inputs and results'!$B$23+1),Z32+(C33-$V$6+Y33)/((1+$P$2)^A33),NA())</f>
        <v>#N/A</v>
      </c>
      <c r="AA33" s="4" t="str">
        <f>IF(A33&lt;('2. Inputs and results'!$B$23+1),AA32+(G33+I33+H33+T33-$V$6)," ")</f>
        <v xml:space="preserve"> </v>
      </c>
      <c r="AB33" s="11" t="e">
        <f>IF(A33&lt;('2. Inputs and results'!$B$23+1),AA33/L33,NA())</f>
        <v>#N/A</v>
      </c>
      <c r="AC33" s="12" t="str">
        <f>IF(A33&lt;('2. Inputs and results'!$B$23+1),AC32+(C33+Y33-$V$6)," ")</f>
        <v xml:space="preserve"> </v>
      </c>
      <c r="AD33" s="11" t="e">
        <f>IF(A33&lt;('2. Inputs and results'!$B$23+1),AC33/L33,NA())</f>
        <v>#N/A</v>
      </c>
      <c r="AE33" t="str">
        <f>IF(A33&lt;('2. Inputs and results'!$B$23+1),-'2. Inputs and results'!$B$124*A33," ")</f>
        <v xml:space="preserve"> </v>
      </c>
      <c r="AF33" t="e">
        <f>IF(A33&lt;('2. Inputs and results'!$B$23+1),AE33/1000,NA())</f>
        <v>#N/A</v>
      </c>
    </row>
    <row r="34" spans="1:32">
      <c r="A34">
        <f t="shared" si="0"/>
        <v>29</v>
      </c>
      <c r="B34" t="str">
        <f>IF(A34&lt;('2. Inputs and results'!$B$23+1),A34," ")</f>
        <v xml:space="preserve"> </v>
      </c>
      <c r="C34" s="4" t="str">
        <f>IF(A34&lt;('2. Inputs and results'!$B$23+1),'2. Inputs and results'!$B$101+'2. Inputs and results'!$B$103," ")</f>
        <v xml:space="preserve"> </v>
      </c>
      <c r="D34" s="4" t="e">
        <f>IF(A34&lt;('2. Inputs and results'!$B$23+1),D33+C34,NA())</f>
        <v>#N/A</v>
      </c>
      <c r="E34" s="4" t="str">
        <f>IF(B34&lt;('2. Inputs and results'!$B$23+1),C34/((1+$P$2)^A34)," ")</f>
        <v xml:space="preserve"> </v>
      </c>
      <c r="F34" s="4" t="str">
        <f>IF(A34&lt;('2. Inputs and results'!$B$23+1),F33+E34," ")</f>
        <v xml:space="preserve"> </v>
      </c>
      <c r="G34" s="4" t="str">
        <f>IF(A34&lt;('2. Inputs and results'!$B$23+1),G33*(1+'2. Inputs and results'!$B$48)," ")</f>
        <v xml:space="preserve"> </v>
      </c>
      <c r="H34" s="4" t="str">
        <f>IF(A34&lt;('2. Inputs and results'!$B$23+1),H33*(1+'2. Inputs and results'!$B$60)," ")</f>
        <v xml:space="preserve"> </v>
      </c>
      <c r="I34" s="4" t="str">
        <f>IF(A34&lt;('2. Inputs and results'!$B$23+1),I33*(1+'2. Inputs and results'!$B$36)," ")</f>
        <v xml:space="preserve"> </v>
      </c>
      <c r="J34" s="4" t="str">
        <f>IF(A34&lt;('2. Inputs and results'!$B$23+1),J33*(1+'2. Inputs and results'!$B$70)," ")</f>
        <v xml:space="preserve"> </v>
      </c>
      <c r="K34" s="4" t="e">
        <f>IF('Solution 1, (hidden) (2)'!A34&lt;('2. Inputs and results'!$B$23+1),K33+(G34+I34+H34+J34),NA())</f>
        <v>#N/A</v>
      </c>
      <c r="L34" s="4" t="e">
        <f>IF(A34&lt;('2. Inputs and results'!$B$23+1),L33,NA())</f>
        <v>#N/A</v>
      </c>
      <c r="M34" s="4" t="str">
        <f>IF(A34&lt;('2. Inputs and results'!$B$23+1),'2. Inputs and results'!$B$77*'2. Inputs and results'!$B$75," ")</f>
        <v xml:space="preserve"> </v>
      </c>
      <c r="N34" s="4" t="str">
        <f>IF(A34&lt;('2. Inputs and results'!$B$23+1),M34/((1+$P$2)^A34)," ")</f>
        <v xml:space="preserve"> </v>
      </c>
      <c r="O34" s="4" t="str">
        <f>IF(A34&lt;('2. Inputs and results'!$B$23+1),'2. Inputs and results'!$B$75*'2. Inputs and results'!$B$77+O33," ")</f>
        <v xml:space="preserve"> </v>
      </c>
      <c r="P34" s="4" t="str">
        <f>IF(A34&lt;('2. Inputs and results'!$B$23+1),(G34+I34+H34+J34)/((1+$P$2)^A34)," ")</f>
        <v xml:space="preserve"> </v>
      </c>
      <c r="Q34" s="4" t="str">
        <f>IF(A34&lt;('2. Inputs and results'!$B$23+1),Q33+P34," ")</f>
        <v xml:space="preserve"> </v>
      </c>
      <c r="R34" s="4" t="e">
        <f>IF(A34&lt;('2. Inputs and results'!$B$23+1),R33+G34+I34+H34+J34+T34-$V$6,NA())</f>
        <v>#N/A</v>
      </c>
      <c r="S34" s="4" t="str">
        <f>IF(A34&lt;('2. Inputs and results'!$B$23+1),'2. Inputs and results'!$B$81*(R33)," ")</f>
        <v xml:space="preserve"> </v>
      </c>
      <c r="T34" s="4">
        <f t="shared" si="1"/>
        <v>0</v>
      </c>
      <c r="U34" s="4" t="e">
        <f>IF(A34&lt;('2. Inputs and results'!$B$23+1),U33+(T34+I34+G34+H34+J34-$V$6)/((1+$P$2)^A34),NA())</f>
        <v>#N/A</v>
      </c>
      <c r="V34" s="4" t="str">
        <f>IF(A34&lt;('2. Inputs and results'!$B$23+1),V33+('2. Inputs and results'!$B$77*'2. Inputs and results'!$B$75)," ")</f>
        <v xml:space="preserve"> </v>
      </c>
      <c r="W34" s="4" t="e">
        <f>IF(A34&lt;('2. Inputs and results'!$B$23+1),W33+C34+Y34-$V$6,NA())</f>
        <v>#N/A</v>
      </c>
      <c r="X34" s="4" t="str">
        <f>IF(A34&lt;('2. Inputs and results'!$B$23+1),'2. Inputs and results'!$B$81*W33," ")</f>
        <v xml:space="preserve"> </v>
      </c>
      <c r="Y34" s="4">
        <f t="shared" si="2"/>
        <v>0</v>
      </c>
      <c r="Z34" s="4" t="e">
        <f>IF(A34&lt;('2. Inputs and results'!$B$23+1),Z33+(C34-$V$6+Y34)/((1+$P$2)^A34),NA())</f>
        <v>#N/A</v>
      </c>
      <c r="AA34" s="4" t="str">
        <f>IF(A34&lt;('2. Inputs and results'!$B$23+1),AA33+(G34+I34+H34+T34-$V$6)," ")</f>
        <v xml:space="preserve"> </v>
      </c>
      <c r="AB34" s="11" t="e">
        <f>IF(A34&lt;('2. Inputs and results'!$B$23+1),AA34/L34,NA())</f>
        <v>#N/A</v>
      </c>
      <c r="AC34" s="12" t="str">
        <f>IF(A34&lt;('2. Inputs and results'!$B$23+1),AC33+(C34+Y34-$V$6)," ")</f>
        <v xml:space="preserve"> </v>
      </c>
      <c r="AD34" s="11" t="e">
        <f>IF(A34&lt;('2. Inputs and results'!$B$23+1),AC34/L34,NA())</f>
        <v>#N/A</v>
      </c>
      <c r="AE34" t="str">
        <f>IF(A34&lt;('2. Inputs and results'!$B$23+1),-'2. Inputs and results'!$B$124*A34," ")</f>
        <v xml:space="preserve"> </v>
      </c>
      <c r="AF34" t="e">
        <f>IF(A34&lt;('2. Inputs and results'!$B$23+1),AE34/1000,NA())</f>
        <v>#N/A</v>
      </c>
    </row>
    <row r="35" spans="1:32">
      <c r="A35">
        <f t="shared" si="0"/>
        <v>30</v>
      </c>
      <c r="B35" t="str">
        <f>IF(A35&lt;('2. Inputs and results'!$B$23+1),A35," ")</f>
        <v xml:space="preserve"> </v>
      </c>
      <c r="C35" s="4" t="str">
        <f>IF(A35&lt;('2. Inputs and results'!$B$23+1),'2. Inputs and results'!$B$101+'2. Inputs and results'!$B$103," ")</f>
        <v xml:space="preserve"> </v>
      </c>
      <c r="D35" s="4" t="e">
        <f>IF(A35&lt;('2. Inputs and results'!$B$23+1),D34+C35,NA())</f>
        <v>#N/A</v>
      </c>
      <c r="E35" s="4" t="str">
        <f>IF(B35&lt;('2. Inputs and results'!$B$23+1),C35/((1+$P$2)^A35)," ")</f>
        <v xml:space="preserve"> </v>
      </c>
      <c r="F35" s="4" t="str">
        <f>IF(A35&lt;('2. Inputs and results'!$B$23+1),F34+E35," ")</f>
        <v xml:space="preserve"> </v>
      </c>
      <c r="G35" s="4" t="str">
        <f>IF(A35&lt;('2. Inputs and results'!$B$23+1),G34*(1+'2. Inputs and results'!$B$48)," ")</f>
        <v xml:space="preserve"> </v>
      </c>
      <c r="H35" s="4" t="str">
        <f>IF(A35&lt;('2. Inputs and results'!$B$23+1),H34*(1+'2. Inputs and results'!$B$60)," ")</f>
        <v xml:space="preserve"> </v>
      </c>
      <c r="I35" s="4" t="str">
        <f>IF(A35&lt;('2. Inputs and results'!$B$23+1),I34*(1+'2. Inputs and results'!$B$36)," ")</f>
        <v xml:space="preserve"> </v>
      </c>
      <c r="J35" s="4" t="str">
        <f>IF(A35&lt;('2. Inputs and results'!$B$23+1),J34*(1+'2. Inputs and results'!$B$70)," ")</f>
        <v xml:space="preserve"> </v>
      </c>
      <c r="K35" s="4" t="e">
        <f>IF('Solution 1, (hidden) (2)'!A35&lt;('2. Inputs and results'!$B$23+1),K34+(G35+I35+H35+J35),NA())</f>
        <v>#N/A</v>
      </c>
      <c r="L35" s="4" t="e">
        <f>IF(A35&lt;('2. Inputs and results'!$B$23+1),L34,NA())</f>
        <v>#N/A</v>
      </c>
      <c r="M35" s="4" t="str">
        <f>IF(A35&lt;('2. Inputs and results'!$B$23+1),'2. Inputs and results'!$B$77*'2. Inputs and results'!$B$75," ")</f>
        <v xml:space="preserve"> </v>
      </c>
      <c r="N35" s="4" t="str">
        <f>IF(A35&lt;('2. Inputs and results'!$B$23+1),M35/((1+$P$2)^A35)," ")</f>
        <v xml:space="preserve"> </v>
      </c>
      <c r="O35" s="4" t="str">
        <f>IF(A35&lt;('2. Inputs and results'!$B$23+1),'2. Inputs and results'!$B$75*'2. Inputs and results'!$B$77+O34," ")</f>
        <v xml:space="preserve"> </v>
      </c>
      <c r="P35" s="4" t="str">
        <f>IF(A35&lt;('2. Inputs and results'!$B$23+1),(G35+I35+H35+J35)/((1+$P$2)^A35)," ")</f>
        <v xml:space="preserve"> </v>
      </c>
      <c r="Q35" s="4" t="str">
        <f>IF(A35&lt;('2. Inputs and results'!$B$23+1),Q34+P35," ")</f>
        <v xml:space="preserve"> </v>
      </c>
      <c r="R35" s="4" t="e">
        <f>IF(A35&lt;('2. Inputs and results'!$B$23+1),R34+G35+I35+H35+J35+T35-$V$6,NA())</f>
        <v>#N/A</v>
      </c>
      <c r="S35" s="4" t="str">
        <f>IF(A35&lt;('2. Inputs and results'!$B$23+1),'2. Inputs and results'!$B$81*(R34)," ")</f>
        <v xml:space="preserve"> </v>
      </c>
      <c r="T35" s="4">
        <f t="shared" si="1"/>
        <v>0</v>
      </c>
      <c r="U35" s="4" t="e">
        <f>IF(A35&lt;('2. Inputs and results'!$B$23+1),U34+(T35+I35+G35+H35+J35-$V$6)/((1+$P$2)^A35),NA())</f>
        <v>#N/A</v>
      </c>
      <c r="V35" s="4" t="str">
        <f>IF(A35&lt;('2. Inputs and results'!$B$23+1),V34+('2. Inputs and results'!$B$77*'2. Inputs and results'!$B$75)," ")</f>
        <v xml:space="preserve"> </v>
      </c>
      <c r="W35" s="4" t="e">
        <f>IF(A35&lt;('2. Inputs and results'!$B$23+1),W34+C35+Y35-$V$6,NA())</f>
        <v>#N/A</v>
      </c>
      <c r="X35" s="4" t="str">
        <f>IF(A35&lt;('2. Inputs and results'!$B$23+1),'2. Inputs and results'!$B$81*W34," ")</f>
        <v xml:space="preserve"> </v>
      </c>
      <c r="Y35" s="4">
        <f t="shared" si="2"/>
        <v>0</v>
      </c>
      <c r="Z35" s="4" t="e">
        <f>IF(A35&lt;('2. Inputs and results'!$B$23+1),Z34+(C35-$V$6+Y35)/((1+$P$2)^A35),NA())</f>
        <v>#N/A</v>
      </c>
      <c r="AA35" s="4" t="str">
        <f>IF(A35&lt;('2. Inputs and results'!$B$23+1),AA34+(G35+I35+H35+T35-$V$6)," ")</f>
        <v xml:space="preserve"> </v>
      </c>
      <c r="AB35" s="11" t="e">
        <f>IF(A35&lt;('2. Inputs and results'!$B$23+1),AA35/L35,NA())</f>
        <v>#N/A</v>
      </c>
      <c r="AC35" s="12" t="str">
        <f>IF(A35&lt;('2. Inputs and results'!$B$23+1),AC34+(C35+Y35-$V$6)," ")</f>
        <v xml:space="preserve"> </v>
      </c>
      <c r="AD35" s="11" t="e">
        <f>IF(A35&lt;('2. Inputs and results'!$B$23+1),AC35/L35,NA())</f>
        <v>#N/A</v>
      </c>
      <c r="AE35" t="str">
        <f>IF(A35&lt;('2. Inputs and results'!$B$23+1),-'2. Inputs and results'!$B$124*A35," ")</f>
        <v xml:space="preserve"> </v>
      </c>
      <c r="AF35" t="e">
        <f>IF(A35&lt;('2. Inputs and results'!$B$23+1),AE35/1000,NA())</f>
        <v>#N/A</v>
      </c>
    </row>
    <row r="36" spans="1:32">
      <c r="A36">
        <f t="shared" si="0"/>
        <v>31</v>
      </c>
      <c r="B36" t="str">
        <f>IF(A36&lt;('2. Inputs and results'!$B$23+1),A36," ")</f>
        <v xml:space="preserve"> </v>
      </c>
      <c r="C36" s="4" t="str">
        <f>IF(A36&lt;('2. Inputs and results'!$B$23+1),'2. Inputs and results'!$B$101+'2. Inputs and results'!$B$103," ")</f>
        <v xml:space="preserve"> </v>
      </c>
      <c r="D36" s="4" t="e">
        <f>IF(A36&lt;('2. Inputs and results'!$B$23+1),D35+C36,NA())</f>
        <v>#N/A</v>
      </c>
      <c r="E36" s="4" t="str">
        <f>IF(B36&lt;('2. Inputs and results'!$B$23+1),C36/((1+$P$2)^A36)," ")</f>
        <v xml:space="preserve"> </v>
      </c>
      <c r="F36" s="4" t="str">
        <f>IF(A36&lt;('2. Inputs and results'!$B$23+1),F35+E36," ")</f>
        <v xml:space="preserve"> </v>
      </c>
      <c r="G36" s="4" t="str">
        <f>IF(A36&lt;('2. Inputs and results'!$B$23+1),G35*(1+'2. Inputs and results'!$B$48)," ")</f>
        <v xml:space="preserve"> </v>
      </c>
      <c r="H36" s="4" t="str">
        <f>IF(A36&lt;('2. Inputs and results'!$B$23+1),H35*(1+'2. Inputs and results'!$B$60)," ")</f>
        <v xml:space="preserve"> </v>
      </c>
      <c r="I36" s="4" t="str">
        <f>IF(A36&lt;('2. Inputs and results'!$B$23+1),I35*(1+'2. Inputs and results'!$B$36)," ")</f>
        <v xml:space="preserve"> </v>
      </c>
      <c r="J36" s="4" t="str">
        <f>IF(A36&lt;('2. Inputs and results'!$B$23+1),J35*(1+'2. Inputs and results'!$B$70)," ")</f>
        <v xml:space="preserve"> </v>
      </c>
      <c r="K36" s="4" t="e">
        <f>IF('Solution 1, (hidden) (2)'!A36&lt;('2. Inputs and results'!$B$23+1),K35+(G36+I36+H36+J36),NA())</f>
        <v>#N/A</v>
      </c>
      <c r="L36" s="4" t="e">
        <f>IF(A36&lt;('2. Inputs and results'!$B$23+1),L35,NA())</f>
        <v>#N/A</v>
      </c>
      <c r="M36" s="4" t="str">
        <f>IF(A36&lt;('2. Inputs and results'!$B$23+1),'2. Inputs and results'!$B$77*'2. Inputs and results'!$B$75," ")</f>
        <v xml:space="preserve"> </v>
      </c>
      <c r="N36" s="4" t="str">
        <f>IF(A36&lt;('2. Inputs and results'!$B$23+1),M36/((1+$P$2)^A36)," ")</f>
        <v xml:space="preserve"> </v>
      </c>
      <c r="O36" s="4" t="str">
        <f>IF(A36&lt;('2. Inputs and results'!$B$23+1),'2. Inputs and results'!$B$75*'2. Inputs and results'!$B$77+O35," ")</f>
        <v xml:space="preserve"> </v>
      </c>
      <c r="P36" s="4" t="str">
        <f>IF(A36&lt;('2. Inputs and results'!$B$23+1),(G36+I36+H36+J36)/((1+$P$2)^A36)," ")</f>
        <v xml:space="preserve"> </v>
      </c>
      <c r="Q36" s="4" t="str">
        <f>IF(A36&lt;('2. Inputs and results'!$B$23+1),Q35+P36," ")</f>
        <v xml:space="preserve"> </v>
      </c>
      <c r="R36" s="4" t="e">
        <f>IF(A36&lt;('2. Inputs and results'!$B$23+1),R35+G36+I36+H36+J36+T36-$V$6,NA())</f>
        <v>#N/A</v>
      </c>
      <c r="S36" s="4" t="str">
        <f>IF(A36&lt;('2. Inputs and results'!$B$23+1),'2. Inputs and results'!$B$81*(R35)," ")</f>
        <v xml:space="preserve"> </v>
      </c>
      <c r="T36" s="4">
        <f t="shared" si="1"/>
        <v>0</v>
      </c>
      <c r="U36" s="4" t="e">
        <f>IF(A36&lt;('2. Inputs and results'!$B$23+1),U35+(T36+I36+G36+H36+J36-$V$6)/((1+$P$2)^A36),NA())</f>
        <v>#N/A</v>
      </c>
      <c r="V36" s="4" t="str">
        <f>IF(A36&lt;('2. Inputs and results'!$B$23+1),V35+('2. Inputs and results'!$B$77*'2. Inputs and results'!$B$75)," ")</f>
        <v xml:space="preserve"> </v>
      </c>
      <c r="W36" s="4" t="e">
        <f>IF(A36&lt;('2. Inputs and results'!$B$23+1),W35+C36+Y36-$V$6,NA())</f>
        <v>#N/A</v>
      </c>
      <c r="X36" s="4" t="str">
        <f>IF(A36&lt;('2. Inputs and results'!$B$23+1),'2. Inputs and results'!$B$81*W35," ")</f>
        <v xml:space="preserve"> </v>
      </c>
      <c r="Y36" s="4">
        <f t="shared" si="2"/>
        <v>0</v>
      </c>
      <c r="Z36" s="4" t="e">
        <f>IF(A36&lt;('2. Inputs and results'!$B$23+1),Z35+(C36-$V$6+Y36)/((1+$P$2)^A36),NA())</f>
        <v>#N/A</v>
      </c>
      <c r="AA36" s="4" t="str">
        <f>IF(A36&lt;('2. Inputs and results'!$B$23+1),AA35+(G36+I36+H36+T36-$V$6)," ")</f>
        <v xml:space="preserve"> </v>
      </c>
      <c r="AB36" s="11" t="e">
        <f>IF(A36&lt;('2. Inputs and results'!$B$23+1),AA36/L36,NA())</f>
        <v>#N/A</v>
      </c>
      <c r="AC36" s="12" t="str">
        <f>IF(A36&lt;('2. Inputs and results'!$B$23+1),AC35+(C36+Y36-$V$6)," ")</f>
        <v xml:space="preserve"> </v>
      </c>
      <c r="AD36" s="11" t="e">
        <f>IF(A36&lt;('2. Inputs and results'!$B$23+1),AC36/L36,NA())</f>
        <v>#N/A</v>
      </c>
      <c r="AE36" t="str">
        <f>IF(A36&lt;('2. Inputs and results'!$B$23+1),-'2. Inputs and results'!$B$124*A36," ")</f>
        <v xml:space="preserve"> </v>
      </c>
      <c r="AF36" t="e">
        <f>IF(A36&lt;('2. Inputs and results'!$B$23+1),AE36/1000,NA())</f>
        <v>#N/A</v>
      </c>
    </row>
    <row r="37" spans="1:32">
      <c r="A37">
        <f t="shared" si="0"/>
        <v>32</v>
      </c>
      <c r="B37" t="str">
        <f>IF(A37&lt;('2. Inputs and results'!$B$23+1),A37," ")</f>
        <v xml:space="preserve"> </v>
      </c>
      <c r="C37" s="4" t="str">
        <f>IF(A37&lt;('2. Inputs and results'!$B$23+1),'2. Inputs and results'!$B$101+'2. Inputs and results'!$B$103," ")</f>
        <v xml:space="preserve"> </v>
      </c>
      <c r="D37" s="4" t="e">
        <f>IF(A37&lt;('2. Inputs and results'!$B$23+1),D36+C37,NA())</f>
        <v>#N/A</v>
      </c>
      <c r="E37" s="4" t="str">
        <f>IF(B37&lt;('2. Inputs and results'!$B$23+1),C37/((1+$P$2)^A37)," ")</f>
        <v xml:space="preserve"> </v>
      </c>
      <c r="F37" s="4" t="str">
        <f>IF(A37&lt;('2. Inputs and results'!$B$23+1),F36+E37," ")</f>
        <v xml:space="preserve"> </v>
      </c>
      <c r="G37" s="4" t="str">
        <f>IF(A37&lt;('2. Inputs and results'!$B$23+1),G36*(1+'2. Inputs and results'!$B$48)," ")</f>
        <v xml:space="preserve"> </v>
      </c>
      <c r="H37" s="4" t="str">
        <f>IF(A37&lt;('2. Inputs and results'!$B$23+1),H36*(1+'2. Inputs and results'!$B$60)," ")</f>
        <v xml:space="preserve"> </v>
      </c>
      <c r="I37" s="4" t="str">
        <f>IF(A37&lt;('2. Inputs and results'!$B$23+1),I36*(1+'2. Inputs and results'!$B$36)," ")</f>
        <v xml:space="preserve"> </v>
      </c>
      <c r="J37" s="4" t="str">
        <f>IF(A37&lt;('2. Inputs and results'!$B$23+1),J36*(1+'2. Inputs and results'!$B$70)," ")</f>
        <v xml:space="preserve"> </v>
      </c>
      <c r="K37" s="4" t="e">
        <f>IF('Solution 1, (hidden) (2)'!A37&lt;('2. Inputs and results'!$B$23+1),K36+(G37+I37+H37+J37),NA())</f>
        <v>#N/A</v>
      </c>
      <c r="L37" s="4" t="e">
        <f>IF(A37&lt;('2. Inputs and results'!$B$23+1),L36,NA())</f>
        <v>#N/A</v>
      </c>
      <c r="M37" s="4" t="str">
        <f>IF(A37&lt;('2. Inputs and results'!$B$23+1),'2. Inputs and results'!$B$77*'2. Inputs and results'!$B$75," ")</f>
        <v xml:space="preserve"> </v>
      </c>
      <c r="N37" s="4" t="str">
        <f>IF(A37&lt;('2. Inputs and results'!$B$23+1),M37/((1+$P$2)^A37)," ")</f>
        <v xml:space="preserve"> </v>
      </c>
      <c r="O37" s="4" t="str">
        <f>IF(A37&lt;('2. Inputs and results'!$B$23+1),'2. Inputs and results'!$B$75*'2. Inputs and results'!$B$77+O36," ")</f>
        <v xml:space="preserve"> </v>
      </c>
      <c r="P37" s="4" t="str">
        <f>IF(A37&lt;('2. Inputs and results'!$B$23+1),(G37+I37+H37+J37)/((1+$P$2)^A37)," ")</f>
        <v xml:space="preserve"> </v>
      </c>
      <c r="Q37" s="4" t="str">
        <f>IF(A37&lt;('2. Inputs and results'!$B$23+1),Q36+P37," ")</f>
        <v xml:space="preserve"> </v>
      </c>
      <c r="R37" s="4" t="e">
        <f>IF(A37&lt;('2. Inputs and results'!$B$23+1),R36+G37+I37+H37+J37+T37-$V$6,NA())</f>
        <v>#N/A</v>
      </c>
      <c r="S37" s="4" t="str">
        <f>IF(A37&lt;('2. Inputs and results'!$B$23+1),'2. Inputs and results'!$B$81*(R36)," ")</f>
        <v xml:space="preserve"> </v>
      </c>
      <c r="T37" s="4">
        <f t="shared" si="1"/>
        <v>0</v>
      </c>
      <c r="U37" s="4" t="e">
        <f>IF(A37&lt;('2. Inputs and results'!$B$23+1),U36+(T37+I37+G37+H37+J37-$V$6)/((1+$P$2)^A37),NA())</f>
        <v>#N/A</v>
      </c>
      <c r="V37" s="4" t="str">
        <f>IF(A37&lt;('2. Inputs and results'!$B$23+1),V36+('2. Inputs and results'!$B$77*'2. Inputs and results'!$B$75)," ")</f>
        <v xml:space="preserve"> </v>
      </c>
      <c r="W37" s="4" t="e">
        <f>IF(A37&lt;('2. Inputs and results'!$B$23+1),W36+C37+Y37-$V$6,NA())</f>
        <v>#N/A</v>
      </c>
      <c r="X37" s="4" t="str">
        <f>IF(A37&lt;('2. Inputs and results'!$B$23+1),'2. Inputs and results'!$B$81*W36," ")</f>
        <v xml:space="preserve"> </v>
      </c>
      <c r="Y37" s="4">
        <f t="shared" si="2"/>
        <v>0</v>
      </c>
      <c r="Z37" s="4" t="e">
        <f>IF(A37&lt;('2. Inputs and results'!$B$23+1),Z36+(C37-$V$6+Y37)/((1+$P$2)^A37),NA())</f>
        <v>#N/A</v>
      </c>
      <c r="AA37" s="4" t="str">
        <f>IF(A37&lt;('2. Inputs and results'!$B$23+1),AA36+(G37+I37+H37+T37-$V$6)," ")</f>
        <v xml:space="preserve"> </v>
      </c>
      <c r="AB37" s="11" t="e">
        <f>IF(A37&lt;('2. Inputs and results'!$B$23+1),AA37/L37,NA())</f>
        <v>#N/A</v>
      </c>
      <c r="AC37" s="12" t="str">
        <f>IF(A37&lt;('2. Inputs and results'!$B$23+1),AC36+(C37+Y37-$V$6)," ")</f>
        <v xml:space="preserve"> </v>
      </c>
      <c r="AD37" s="11" t="e">
        <f>IF(A37&lt;('2. Inputs and results'!$B$23+1),AC37/L37,NA())</f>
        <v>#N/A</v>
      </c>
      <c r="AE37" t="str">
        <f>IF(A37&lt;('2. Inputs and results'!$B$23+1),-'2. Inputs and results'!$B$124*A37," ")</f>
        <v xml:space="preserve"> </v>
      </c>
      <c r="AF37" t="e">
        <f>IF(A37&lt;('2. Inputs and results'!$B$23+1),AE37/1000,NA())</f>
        <v>#N/A</v>
      </c>
    </row>
    <row r="38" spans="1:32">
      <c r="A38">
        <f t="shared" si="0"/>
        <v>33</v>
      </c>
      <c r="B38" t="str">
        <f>IF(A38&lt;('2. Inputs and results'!$B$23+1),A38," ")</f>
        <v xml:space="preserve"> </v>
      </c>
      <c r="C38" s="4" t="str">
        <f>IF(A38&lt;('2. Inputs and results'!$B$23+1),'2. Inputs and results'!$B$101+'2. Inputs and results'!$B$103," ")</f>
        <v xml:space="preserve"> </v>
      </c>
      <c r="D38" s="4" t="e">
        <f>IF(A38&lt;('2. Inputs and results'!$B$23+1),D37+C38,NA())</f>
        <v>#N/A</v>
      </c>
      <c r="E38" s="4" t="str">
        <f>IF(B38&lt;('2. Inputs and results'!$B$23+1),C38/((1+$P$2)^A38)," ")</f>
        <v xml:space="preserve"> </v>
      </c>
      <c r="F38" s="4" t="str">
        <f>IF(A38&lt;('2. Inputs and results'!$B$23+1),F37+E38," ")</f>
        <v xml:space="preserve"> </v>
      </c>
      <c r="G38" s="4" t="str">
        <f>IF(A38&lt;('2. Inputs and results'!$B$23+1),G37*(1+'2. Inputs and results'!$B$48)," ")</f>
        <v xml:space="preserve"> </v>
      </c>
      <c r="H38" s="4" t="str">
        <f>IF(A38&lt;('2. Inputs and results'!$B$23+1),H37*(1+'2. Inputs and results'!$B$60)," ")</f>
        <v xml:space="preserve"> </v>
      </c>
      <c r="I38" s="4" t="str">
        <f>IF(A38&lt;('2. Inputs and results'!$B$23+1),I37*(1+'2. Inputs and results'!$B$36)," ")</f>
        <v xml:space="preserve"> </v>
      </c>
      <c r="J38" s="4" t="str">
        <f>IF(A38&lt;('2. Inputs and results'!$B$23+1),J37*(1+'2. Inputs and results'!$B$70)," ")</f>
        <v xml:space="preserve"> </v>
      </c>
      <c r="K38" s="4" t="e">
        <f>IF('Solution 1, (hidden) (2)'!A38&lt;('2. Inputs and results'!$B$23+1),K37+(G38+I38+H38+J38),NA())</f>
        <v>#N/A</v>
      </c>
      <c r="L38" s="4" t="e">
        <f>IF(A38&lt;('2. Inputs and results'!$B$23+1),L37,NA())</f>
        <v>#N/A</v>
      </c>
      <c r="M38" s="4" t="str">
        <f>IF(A38&lt;('2. Inputs and results'!$B$23+1),'2. Inputs and results'!$B$77*'2. Inputs and results'!$B$75," ")</f>
        <v xml:space="preserve"> </v>
      </c>
      <c r="N38" s="4" t="str">
        <f>IF(A38&lt;('2. Inputs and results'!$B$23+1),M38/((1+$P$2)^A38)," ")</f>
        <v xml:space="preserve"> </v>
      </c>
      <c r="O38" s="4" t="str">
        <f>IF(A38&lt;('2. Inputs and results'!$B$23+1),'2. Inputs and results'!$B$75*'2. Inputs and results'!$B$77+O37," ")</f>
        <v xml:space="preserve"> </v>
      </c>
      <c r="P38" s="4" t="str">
        <f>IF(A38&lt;('2. Inputs and results'!$B$23+1),(G38+I38+H38+J38)/((1+$P$2)^A38)," ")</f>
        <v xml:space="preserve"> </v>
      </c>
      <c r="Q38" s="4" t="str">
        <f>IF(A38&lt;('2. Inputs and results'!$B$23+1),Q37+P38," ")</f>
        <v xml:space="preserve"> </v>
      </c>
      <c r="R38" s="4" t="e">
        <f>IF(A38&lt;('2. Inputs and results'!$B$23+1),R37+G38+I38+H38+J38+T38-$V$6,NA())</f>
        <v>#N/A</v>
      </c>
      <c r="S38" s="4" t="str">
        <f>IF(A38&lt;('2. Inputs and results'!$B$23+1),'2. Inputs and results'!$B$81*(R37)," ")</f>
        <v xml:space="preserve"> </v>
      </c>
      <c r="T38" s="4">
        <f t="shared" si="1"/>
        <v>0</v>
      </c>
      <c r="U38" s="4" t="e">
        <f>IF(A38&lt;('2. Inputs and results'!$B$23+1),U37+(T38+I38+G38+H38+J38-$V$6)/((1+$P$2)^A38),NA())</f>
        <v>#N/A</v>
      </c>
      <c r="V38" s="4" t="str">
        <f>IF(A38&lt;('2. Inputs and results'!$B$23+1),V37+('2. Inputs and results'!$B$77*'2. Inputs and results'!$B$75)," ")</f>
        <v xml:space="preserve"> </v>
      </c>
      <c r="W38" s="4" t="e">
        <f>IF(A38&lt;('2. Inputs and results'!$B$23+1),W37+C38+Y38-$V$6,NA())</f>
        <v>#N/A</v>
      </c>
      <c r="X38" s="4" t="str">
        <f>IF(A38&lt;('2. Inputs and results'!$B$23+1),'2. Inputs and results'!$B$81*W37," ")</f>
        <v xml:space="preserve"> </v>
      </c>
      <c r="Y38" s="4">
        <f t="shared" si="2"/>
        <v>0</v>
      </c>
      <c r="Z38" s="4" t="e">
        <f>IF(A38&lt;('2. Inputs and results'!$B$23+1),Z37+(C38-$V$6+Y38)/((1+$P$2)^A38),NA())</f>
        <v>#N/A</v>
      </c>
      <c r="AA38" s="4" t="str">
        <f>IF(A38&lt;('2. Inputs and results'!$B$23+1),AA37+(G38+I38+H38+T38-$V$6)," ")</f>
        <v xml:space="preserve"> </v>
      </c>
      <c r="AB38" s="11" t="e">
        <f>IF(A38&lt;('2. Inputs and results'!$B$23+1),AA38/L38,NA())</f>
        <v>#N/A</v>
      </c>
      <c r="AC38" s="12" t="str">
        <f>IF(A38&lt;('2. Inputs and results'!$B$23+1),AC37+(C38+Y38-$V$6)," ")</f>
        <v xml:space="preserve"> </v>
      </c>
      <c r="AD38" s="11" t="e">
        <f>IF(A38&lt;('2. Inputs and results'!$B$23+1),AC38/L38,NA())</f>
        <v>#N/A</v>
      </c>
      <c r="AE38" t="str">
        <f>IF(A38&lt;('2. Inputs and results'!$B$23+1),-'2. Inputs and results'!$B$124*A38," ")</f>
        <v xml:space="preserve"> </v>
      </c>
      <c r="AF38" t="e">
        <f>IF(A38&lt;('2. Inputs and results'!$B$23+1),AE38/1000,NA())</f>
        <v>#N/A</v>
      </c>
    </row>
    <row r="39" spans="1:32">
      <c r="A39">
        <f t="shared" si="0"/>
        <v>34</v>
      </c>
      <c r="B39" t="str">
        <f>IF(A39&lt;('2. Inputs and results'!$B$23+1),A39," ")</f>
        <v xml:space="preserve"> </v>
      </c>
      <c r="C39" s="4" t="str">
        <f>IF(A39&lt;('2. Inputs and results'!$B$23+1),'2. Inputs and results'!$B$101+'2. Inputs and results'!$B$103," ")</f>
        <v xml:space="preserve"> </v>
      </c>
      <c r="D39" s="4" t="e">
        <f>IF(A39&lt;('2. Inputs and results'!$B$23+1),D38+C39,NA())</f>
        <v>#N/A</v>
      </c>
      <c r="E39" s="4" t="str">
        <f>IF(B39&lt;('2. Inputs and results'!$B$23+1),C39/((1+$P$2)^A39)," ")</f>
        <v xml:space="preserve"> </v>
      </c>
      <c r="F39" s="4" t="str">
        <f>IF(A39&lt;('2. Inputs and results'!$B$23+1),F38+E39," ")</f>
        <v xml:space="preserve"> </v>
      </c>
      <c r="G39" s="4" t="str">
        <f>IF(A39&lt;('2. Inputs and results'!$B$23+1),G38*(1+'2. Inputs and results'!$B$48)," ")</f>
        <v xml:space="preserve"> </v>
      </c>
      <c r="H39" s="4" t="str">
        <f>IF(A39&lt;('2. Inputs and results'!$B$23+1),H38*(1+'2. Inputs and results'!$B$60)," ")</f>
        <v xml:space="preserve"> </v>
      </c>
      <c r="I39" s="4" t="str">
        <f>IF(A39&lt;('2. Inputs and results'!$B$23+1),I38*(1+'2. Inputs and results'!$B$36)," ")</f>
        <v xml:space="preserve"> </v>
      </c>
      <c r="J39" s="4" t="str">
        <f>IF(A39&lt;('2. Inputs and results'!$B$23+1),J38*(1+'2. Inputs and results'!$B$70)," ")</f>
        <v xml:space="preserve"> </v>
      </c>
      <c r="K39" s="4" t="e">
        <f>IF('Solution 1, (hidden) (2)'!A39&lt;('2. Inputs and results'!$B$23+1),K38+(G39+I39+H39+J39),NA())</f>
        <v>#N/A</v>
      </c>
      <c r="L39" s="4" t="e">
        <f>IF(A39&lt;('2. Inputs and results'!$B$23+1),L38,NA())</f>
        <v>#N/A</v>
      </c>
      <c r="M39" s="4" t="str">
        <f>IF(A39&lt;('2. Inputs and results'!$B$23+1),'2. Inputs and results'!$B$77*'2. Inputs and results'!$B$75," ")</f>
        <v xml:space="preserve"> </v>
      </c>
      <c r="N39" s="4" t="str">
        <f>IF(A39&lt;('2. Inputs and results'!$B$23+1),M39/((1+$P$2)^A39)," ")</f>
        <v xml:space="preserve"> </v>
      </c>
      <c r="O39" s="4" t="str">
        <f>IF(A39&lt;('2. Inputs and results'!$B$23+1),'2. Inputs and results'!$B$75*'2. Inputs and results'!$B$77+O38," ")</f>
        <v xml:space="preserve"> </v>
      </c>
      <c r="P39" s="4" t="str">
        <f>IF(A39&lt;('2. Inputs and results'!$B$23+1),(G39+I39+H39+J39)/((1+$P$2)^A39)," ")</f>
        <v xml:space="preserve"> </v>
      </c>
      <c r="Q39" s="4" t="str">
        <f>IF(A39&lt;('2. Inputs and results'!$B$23+1),Q38+P39," ")</f>
        <v xml:space="preserve"> </v>
      </c>
      <c r="R39" s="4" t="e">
        <f>IF(A39&lt;('2. Inputs and results'!$B$23+1),R38+G39+I39+H39+J39+T39-$V$6,NA())</f>
        <v>#N/A</v>
      </c>
      <c r="S39" s="4" t="str">
        <f>IF(A39&lt;('2. Inputs and results'!$B$23+1),'2. Inputs and results'!$B$81*(R38)," ")</f>
        <v xml:space="preserve"> </v>
      </c>
      <c r="T39" s="4">
        <f t="shared" si="1"/>
        <v>0</v>
      </c>
      <c r="U39" s="4" t="e">
        <f>IF(A39&lt;('2. Inputs and results'!$B$23+1),U38+(T39+I39+G39+H39+J39-$V$6)/((1+$P$2)^A39),NA())</f>
        <v>#N/A</v>
      </c>
      <c r="V39" s="4" t="str">
        <f>IF(A39&lt;('2. Inputs and results'!$B$23+1),V38+('2. Inputs and results'!$B$77*'2. Inputs and results'!$B$75)," ")</f>
        <v xml:space="preserve"> </v>
      </c>
      <c r="W39" s="4" t="e">
        <f>IF(A39&lt;('2. Inputs and results'!$B$23+1),W38+C39+Y39-$V$6,NA())</f>
        <v>#N/A</v>
      </c>
      <c r="X39" s="4" t="str">
        <f>IF(A39&lt;('2. Inputs and results'!$B$23+1),'2. Inputs and results'!$B$81*W38," ")</f>
        <v xml:space="preserve"> </v>
      </c>
      <c r="Y39" s="4">
        <f t="shared" si="2"/>
        <v>0</v>
      </c>
      <c r="Z39" s="4" t="e">
        <f>IF(A39&lt;('2. Inputs and results'!$B$23+1),Z38+(C39-$V$6+Y39)/((1+$P$2)^A39),NA())</f>
        <v>#N/A</v>
      </c>
      <c r="AA39" s="4" t="str">
        <f>IF(A39&lt;('2. Inputs and results'!$B$23+1),AA38+(G39+I39+H39+T39-$V$6)," ")</f>
        <v xml:space="preserve"> </v>
      </c>
      <c r="AB39" s="11" t="e">
        <f>IF(A39&lt;('2. Inputs and results'!$B$23+1),AA39/L39,NA())</f>
        <v>#N/A</v>
      </c>
      <c r="AC39" s="12" t="str">
        <f>IF(A39&lt;('2. Inputs and results'!$B$23+1),AC38+(C39+Y39-$V$6)," ")</f>
        <v xml:space="preserve"> </v>
      </c>
      <c r="AD39" s="11" t="e">
        <f>IF(A39&lt;('2. Inputs and results'!$B$23+1),AC39/L39,NA())</f>
        <v>#N/A</v>
      </c>
      <c r="AE39" t="str">
        <f>IF(A39&lt;('2. Inputs and results'!$B$23+1),-'2. Inputs and results'!$B$124*A39," ")</f>
        <v xml:space="preserve"> </v>
      </c>
      <c r="AF39" t="e">
        <f>IF(A39&lt;('2. Inputs and results'!$B$23+1),AE39/1000,NA())</f>
        <v>#N/A</v>
      </c>
    </row>
    <row r="40" spans="1:32">
      <c r="A40">
        <f t="shared" si="0"/>
        <v>35</v>
      </c>
      <c r="B40" t="str">
        <f>IF(A40&lt;('2. Inputs and results'!$B$23+1),A40," ")</f>
        <v xml:space="preserve"> </v>
      </c>
      <c r="C40" s="4" t="str">
        <f>IF(A40&lt;('2. Inputs and results'!$B$23+1),'2. Inputs and results'!$B$101+'2. Inputs and results'!$B$103," ")</f>
        <v xml:space="preserve"> </v>
      </c>
      <c r="D40" s="4" t="e">
        <f>IF(A40&lt;('2. Inputs and results'!$B$23+1),D39+C40,NA())</f>
        <v>#N/A</v>
      </c>
      <c r="E40" s="4" t="str">
        <f>IF(B40&lt;('2. Inputs and results'!$B$23+1),C40/((1+$P$2)^A40)," ")</f>
        <v xml:space="preserve"> </v>
      </c>
      <c r="F40" s="4" t="str">
        <f>IF(A40&lt;('2. Inputs and results'!$B$23+1),F39+E40," ")</f>
        <v xml:space="preserve"> </v>
      </c>
      <c r="G40" s="4" t="str">
        <f>IF(A40&lt;('2. Inputs and results'!$B$23+1),G39*(1+'2. Inputs and results'!$B$48)," ")</f>
        <v xml:space="preserve"> </v>
      </c>
      <c r="H40" s="4" t="str">
        <f>IF(A40&lt;('2. Inputs and results'!$B$23+1),H39*(1+'2. Inputs and results'!$B$60)," ")</f>
        <v xml:space="preserve"> </v>
      </c>
      <c r="I40" s="4" t="str">
        <f>IF(A40&lt;('2. Inputs and results'!$B$23+1),I39*(1+'2. Inputs and results'!$B$36)," ")</f>
        <v xml:space="preserve"> </v>
      </c>
      <c r="J40" s="4" t="str">
        <f>IF(A40&lt;('2. Inputs and results'!$B$23+1),J39*(1+'2. Inputs and results'!$B$70)," ")</f>
        <v xml:space="preserve"> </v>
      </c>
      <c r="K40" s="4" t="e">
        <f>IF('Solution 1, (hidden) (2)'!A40&lt;('2. Inputs and results'!$B$23+1),K39+(G40+I40+H40+J40),NA())</f>
        <v>#N/A</v>
      </c>
      <c r="L40" s="4" t="e">
        <f>IF(A40&lt;('2. Inputs and results'!$B$23+1),L39,NA())</f>
        <v>#N/A</v>
      </c>
      <c r="M40" s="4" t="str">
        <f>IF(A40&lt;('2. Inputs and results'!$B$23+1),'2. Inputs and results'!$B$77*'2. Inputs and results'!$B$75," ")</f>
        <v xml:space="preserve"> </v>
      </c>
      <c r="N40" s="4" t="str">
        <f>IF(A40&lt;('2. Inputs and results'!$B$23+1),M40/((1+$P$2)^A40)," ")</f>
        <v xml:space="preserve"> </v>
      </c>
      <c r="O40" s="4" t="str">
        <f>IF(A40&lt;('2. Inputs and results'!$B$23+1),'2. Inputs and results'!$B$75*'2. Inputs and results'!$B$77+O39," ")</f>
        <v xml:space="preserve"> </v>
      </c>
      <c r="P40" s="4" t="str">
        <f>IF(A40&lt;('2. Inputs and results'!$B$23+1),(G40+I40+H40+J40)/((1+$P$2)^A40)," ")</f>
        <v xml:space="preserve"> </v>
      </c>
      <c r="Q40" s="4" t="str">
        <f>IF(A40&lt;('2. Inputs and results'!$B$23+1),Q39+P40," ")</f>
        <v xml:space="preserve"> </v>
      </c>
      <c r="R40" s="4" t="e">
        <f>IF(A40&lt;('2. Inputs and results'!$B$23+1),R39+G40+I40+H40+J40+T40-$V$6,NA())</f>
        <v>#N/A</v>
      </c>
      <c r="S40" s="4" t="str">
        <f>IF(A40&lt;('2. Inputs and results'!$B$23+1),'2. Inputs and results'!$B$81*(R39)," ")</f>
        <v xml:space="preserve"> </v>
      </c>
      <c r="T40" s="4">
        <f t="shared" si="1"/>
        <v>0</v>
      </c>
      <c r="U40" s="4" t="e">
        <f>IF(A40&lt;('2. Inputs and results'!$B$23+1),U39+(T40+I40+G40+H40+J40-$V$6)/((1+$P$2)^A40),NA())</f>
        <v>#N/A</v>
      </c>
      <c r="V40" s="4" t="str">
        <f>IF(A40&lt;('2. Inputs and results'!$B$23+1),V39+('2. Inputs and results'!$B$77*'2. Inputs and results'!$B$75)," ")</f>
        <v xml:space="preserve"> </v>
      </c>
      <c r="W40" s="4" t="e">
        <f>IF(A40&lt;('2. Inputs and results'!$B$23+1),W39+C40+Y40-$V$6,NA())</f>
        <v>#N/A</v>
      </c>
      <c r="X40" s="4" t="str">
        <f>IF(A40&lt;('2. Inputs and results'!$B$23+1),'2. Inputs and results'!$B$81*W39," ")</f>
        <v xml:space="preserve"> </v>
      </c>
      <c r="Y40" s="4">
        <f t="shared" si="2"/>
        <v>0</v>
      </c>
      <c r="Z40" s="4" t="e">
        <f>IF(A40&lt;('2. Inputs and results'!$B$23+1),Z39+(C40-$V$6+Y40)/((1+$P$2)^A40),NA())</f>
        <v>#N/A</v>
      </c>
      <c r="AA40" s="4" t="str">
        <f>IF(A40&lt;('2. Inputs and results'!$B$23+1),AA39+(G40+I40+H40+T40-$V$6)," ")</f>
        <v xml:space="preserve"> </v>
      </c>
      <c r="AB40" s="11" t="e">
        <f>IF(A40&lt;('2. Inputs and results'!$B$23+1),AA40/L40,NA())</f>
        <v>#N/A</v>
      </c>
      <c r="AC40" s="12" t="str">
        <f>IF(A40&lt;('2. Inputs and results'!$B$23+1),AC39+(C40+Y40-$V$6)," ")</f>
        <v xml:space="preserve"> </v>
      </c>
      <c r="AD40" s="11" t="e">
        <f>IF(A40&lt;('2. Inputs and results'!$B$23+1),AC40/L40,NA())</f>
        <v>#N/A</v>
      </c>
      <c r="AE40" t="str">
        <f>IF(A40&lt;('2. Inputs and results'!$B$23+1),-'2. Inputs and results'!$B$124*A40," ")</f>
        <v xml:space="preserve"> </v>
      </c>
      <c r="AF40" t="e">
        <f>IF(A40&lt;('2. Inputs and results'!$B$23+1),AE40/1000,NA())</f>
        <v>#N/A</v>
      </c>
    </row>
    <row r="41" spans="1:32">
      <c r="A41">
        <f t="shared" si="0"/>
        <v>36</v>
      </c>
      <c r="B41" t="str">
        <f>IF(A41&lt;('2. Inputs and results'!$B$23+1),A41," ")</f>
        <v xml:space="preserve"> </v>
      </c>
      <c r="C41" s="4" t="str">
        <f>IF(A41&lt;('2. Inputs and results'!$B$23+1),'2. Inputs and results'!$B$101+'2. Inputs and results'!$B$103," ")</f>
        <v xml:space="preserve"> </v>
      </c>
      <c r="D41" s="4" t="e">
        <f>IF(A41&lt;('2. Inputs and results'!$B$23+1),D40+C41,NA())</f>
        <v>#N/A</v>
      </c>
      <c r="E41" s="4" t="str">
        <f>IF(B41&lt;('2. Inputs and results'!$B$23+1),C41/((1+$P$2)^A41)," ")</f>
        <v xml:space="preserve"> </v>
      </c>
      <c r="F41" s="4" t="str">
        <f>IF(A41&lt;('2. Inputs and results'!$B$23+1),F40+E41," ")</f>
        <v xml:space="preserve"> </v>
      </c>
      <c r="G41" s="4" t="str">
        <f>IF(A41&lt;('2. Inputs and results'!$B$23+1),G40*(1+'2. Inputs and results'!$B$48)," ")</f>
        <v xml:space="preserve"> </v>
      </c>
      <c r="H41" s="4" t="str">
        <f>IF(A41&lt;('2. Inputs and results'!$B$23+1),H40*(1+'2. Inputs and results'!$B$60)," ")</f>
        <v xml:space="preserve"> </v>
      </c>
      <c r="I41" s="4" t="str">
        <f>IF(A41&lt;('2. Inputs and results'!$B$23+1),I40*(1+'2. Inputs and results'!$B$36)," ")</f>
        <v xml:space="preserve"> </v>
      </c>
      <c r="J41" s="4" t="str">
        <f>IF(A41&lt;('2. Inputs and results'!$B$23+1),J40*(1+'2. Inputs and results'!$B$70)," ")</f>
        <v xml:space="preserve"> </v>
      </c>
      <c r="K41" s="4" t="e">
        <f>IF('Solution 1, (hidden) (2)'!A41&lt;('2. Inputs and results'!$B$23+1),K40+(G41+I41+H41+J41),NA())</f>
        <v>#N/A</v>
      </c>
      <c r="L41" s="4" t="e">
        <f>IF(A41&lt;('2. Inputs and results'!$B$23+1),L40,NA())</f>
        <v>#N/A</v>
      </c>
      <c r="M41" s="4" t="str">
        <f>IF(A41&lt;('2. Inputs and results'!$B$23+1),'2. Inputs and results'!$B$77*'2. Inputs and results'!$B$75," ")</f>
        <v xml:space="preserve"> </v>
      </c>
      <c r="N41" s="4" t="str">
        <f>IF(A41&lt;('2. Inputs and results'!$B$23+1),M41/((1+$P$2)^A41)," ")</f>
        <v xml:space="preserve"> </v>
      </c>
      <c r="O41" s="4" t="str">
        <f>IF(A41&lt;('2. Inputs and results'!$B$23+1),'2. Inputs and results'!$B$75*'2. Inputs and results'!$B$77+O40," ")</f>
        <v xml:space="preserve"> </v>
      </c>
      <c r="P41" s="4" t="str">
        <f>IF(A41&lt;('2. Inputs and results'!$B$23+1),(G41+I41+H41+J41)/((1+$P$2)^A41)," ")</f>
        <v xml:space="preserve"> </v>
      </c>
      <c r="Q41" s="4" t="str">
        <f>IF(A41&lt;('2. Inputs and results'!$B$23+1),Q40+P41," ")</f>
        <v xml:space="preserve"> </v>
      </c>
      <c r="R41" s="4" t="e">
        <f>IF(A41&lt;('2. Inputs and results'!$B$23+1),R40+G41+I41+H41+J41+T41-$V$6,NA())</f>
        <v>#N/A</v>
      </c>
      <c r="S41" s="4" t="str">
        <f>IF(A41&lt;('2. Inputs and results'!$B$23+1),'2. Inputs and results'!$B$81*(R40)," ")</f>
        <v xml:space="preserve"> </v>
      </c>
      <c r="T41" s="4">
        <f t="shared" si="1"/>
        <v>0</v>
      </c>
      <c r="U41" s="4" t="e">
        <f>IF(A41&lt;('2. Inputs and results'!$B$23+1),U40+(T41+I41+G41+H41+J41-$V$6)/((1+$P$2)^A41),NA())</f>
        <v>#N/A</v>
      </c>
      <c r="V41" s="4" t="str">
        <f>IF(A41&lt;('2. Inputs and results'!$B$23+1),V40+('2. Inputs and results'!$B$77*'2. Inputs and results'!$B$75)," ")</f>
        <v xml:space="preserve"> </v>
      </c>
      <c r="W41" s="4" t="e">
        <f>IF(A41&lt;('2. Inputs and results'!$B$23+1),W40+C41+Y41-$V$6,NA())</f>
        <v>#N/A</v>
      </c>
      <c r="X41" s="4" t="str">
        <f>IF(A41&lt;('2. Inputs and results'!$B$23+1),'2. Inputs and results'!$B$81*W40," ")</f>
        <v xml:space="preserve"> </v>
      </c>
      <c r="Y41" s="4">
        <f t="shared" si="2"/>
        <v>0</v>
      </c>
      <c r="Z41" s="4" t="e">
        <f>IF(A41&lt;('2. Inputs and results'!$B$23+1),Z40+(C41-$V$6+Y41)/((1+$P$2)^A41),NA())</f>
        <v>#N/A</v>
      </c>
      <c r="AA41" s="4" t="str">
        <f>IF(A41&lt;('2. Inputs and results'!$B$23+1),AA40+(G41+I41+H41+T41-$V$6)," ")</f>
        <v xml:space="preserve"> </v>
      </c>
      <c r="AB41" s="11" t="e">
        <f>IF(A41&lt;('2. Inputs and results'!$B$23+1),AA41/L41,NA())</f>
        <v>#N/A</v>
      </c>
      <c r="AC41" s="12" t="str">
        <f>IF(A41&lt;('2. Inputs and results'!$B$23+1),AC40+(C41+Y41-$V$6)," ")</f>
        <v xml:space="preserve"> </v>
      </c>
      <c r="AD41" s="11" t="e">
        <f>IF(A41&lt;('2. Inputs and results'!$B$23+1),AC41/L41,NA())</f>
        <v>#N/A</v>
      </c>
      <c r="AE41" t="str">
        <f>IF(A41&lt;('2. Inputs and results'!$B$23+1),-'2. Inputs and results'!$B$124*A41," ")</f>
        <v xml:space="preserve"> </v>
      </c>
      <c r="AF41" t="e">
        <f>IF(A41&lt;('2. Inputs and results'!$B$23+1),AE41/1000,NA())</f>
        <v>#N/A</v>
      </c>
    </row>
    <row r="42" spans="1:32">
      <c r="A42">
        <f t="shared" si="0"/>
        <v>37</v>
      </c>
      <c r="B42" t="str">
        <f>IF(A42&lt;('2. Inputs and results'!$B$23+1),A42," ")</f>
        <v xml:space="preserve"> </v>
      </c>
      <c r="C42" s="4" t="str">
        <f>IF(A42&lt;('2. Inputs and results'!$B$23+1),'2. Inputs and results'!$B$101+'2. Inputs and results'!$B$103," ")</f>
        <v xml:space="preserve"> </v>
      </c>
      <c r="D42" s="4" t="e">
        <f>IF(A42&lt;('2. Inputs and results'!$B$23+1),D41+C42,NA())</f>
        <v>#N/A</v>
      </c>
      <c r="E42" s="4" t="str">
        <f>IF(B42&lt;('2. Inputs and results'!$B$23+1),C42/((1+$P$2)^A42)," ")</f>
        <v xml:space="preserve"> </v>
      </c>
      <c r="F42" s="4" t="str">
        <f>IF(A42&lt;('2. Inputs and results'!$B$23+1),F41+E42," ")</f>
        <v xml:space="preserve"> </v>
      </c>
      <c r="G42" s="4" t="str">
        <f>IF(A42&lt;('2. Inputs and results'!$B$23+1),G41*(1+'2. Inputs and results'!$B$48)," ")</f>
        <v xml:space="preserve"> </v>
      </c>
      <c r="H42" s="4" t="str">
        <f>IF(A42&lt;('2. Inputs and results'!$B$23+1),H41*(1+'2. Inputs and results'!$B$60)," ")</f>
        <v xml:space="preserve"> </v>
      </c>
      <c r="I42" s="4" t="str">
        <f>IF(A42&lt;('2. Inputs and results'!$B$23+1),I41*(1+'2. Inputs and results'!$B$36)," ")</f>
        <v xml:space="preserve"> </v>
      </c>
      <c r="J42" s="4" t="str">
        <f>IF(A42&lt;('2. Inputs and results'!$B$23+1),J41*(1+'2. Inputs and results'!$B$70)," ")</f>
        <v xml:space="preserve"> </v>
      </c>
      <c r="K42" s="4" t="e">
        <f>IF('Solution 1, (hidden) (2)'!A42&lt;('2. Inputs and results'!$B$23+1),K41+(G42+I42+H42+J42),NA())</f>
        <v>#N/A</v>
      </c>
      <c r="L42" s="4" t="e">
        <f>IF(A42&lt;('2. Inputs and results'!$B$23+1),L41,NA())</f>
        <v>#N/A</v>
      </c>
      <c r="M42" s="4" t="str">
        <f>IF(A42&lt;('2. Inputs and results'!$B$23+1),'2. Inputs and results'!$B$77*'2. Inputs and results'!$B$75," ")</f>
        <v xml:space="preserve"> </v>
      </c>
      <c r="N42" s="4" t="str">
        <f>IF(A42&lt;('2. Inputs and results'!$B$23+1),M42/((1+$P$2)^A42)," ")</f>
        <v xml:space="preserve"> </v>
      </c>
      <c r="O42" s="4" t="str">
        <f>IF(A42&lt;('2. Inputs and results'!$B$23+1),'2. Inputs and results'!$B$75*'2. Inputs and results'!$B$77+O41," ")</f>
        <v xml:space="preserve"> </v>
      </c>
      <c r="P42" s="4" t="str">
        <f>IF(A42&lt;('2. Inputs and results'!$B$23+1),(G42+I42+H42+J42)/((1+$P$2)^A42)," ")</f>
        <v xml:space="preserve"> </v>
      </c>
      <c r="Q42" s="4" t="str">
        <f>IF(A42&lt;('2. Inputs and results'!$B$23+1),Q41+P42," ")</f>
        <v xml:space="preserve"> </v>
      </c>
      <c r="R42" s="4" t="e">
        <f>IF(A42&lt;('2. Inputs and results'!$B$23+1),R41+G42+I42+H42+J42+T42-$V$6,NA())</f>
        <v>#N/A</v>
      </c>
      <c r="S42" s="4" t="str">
        <f>IF(A42&lt;('2. Inputs and results'!$B$23+1),'2. Inputs and results'!$B$81*(R41)," ")</f>
        <v xml:space="preserve"> </v>
      </c>
      <c r="T42" s="4">
        <f t="shared" si="1"/>
        <v>0</v>
      </c>
      <c r="U42" s="4" t="e">
        <f>IF(A42&lt;('2. Inputs and results'!$B$23+1),U41+(T42+I42+G42+H42+J42-$V$6)/((1+$P$2)^A42),NA())</f>
        <v>#N/A</v>
      </c>
      <c r="V42" s="4" t="str">
        <f>IF(A42&lt;('2. Inputs and results'!$B$23+1),V41+('2. Inputs and results'!$B$77*'2. Inputs and results'!$B$75)," ")</f>
        <v xml:space="preserve"> </v>
      </c>
      <c r="W42" s="4" t="e">
        <f>IF(A42&lt;('2. Inputs and results'!$B$23+1),W41+C42+Y42-$V$6,NA())</f>
        <v>#N/A</v>
      </c>
      <c r="X42" s="4" t="str">
        <f>IF(A42&lt;('2. Inputs and results'!$B$23+1),'2. Inputs and results'!$B$81*W41," ")</f>
        <v xml:space="preserve"> </v>
      </c>
      <c r="Y42" s="4">
        <f t="shared" si="2"/>
        <v>0</v>
      </c>
      <c r="Z42" s="4" t="e">
        <f>IF(A42&lt;('2. Inputs and results'!$B$23+1),Z41+(C42-$V$6+Y42)/((1+$P$2)^A42),NA())</f>
        <v>#N/A</v>
      </c>
      <c r="AA42" s="4" t="str">
        <f>IF(A42&lt;('2. Inputs and results'!$B$23+1),AA41+(G42+I42+H42+T42-$V$6)," ")</f>
        <v xml:space="preserve"> </v>
      </c>
      <c r="AB42" s="11" t="e">
        <f>IF(A42&lt;('2. Inputs and results'!$B$23+1),AA42/L42,NA())</f>
        <v>#N/A</v>
      </c>
      <c r="AC42" s="12" t="str">
        <f>IF(A42&lt;('2. Inputs and results'!$B$23+1),AC41+(C42+Y42-$V$6)," ")</f>
        <v xml:space="preserve"> </v>
      </c>
      <c r="AD42" s="11" t="e">
        <f>IF(A42&lt;('2. Inputs and results'!$B$23+1),AC42/L42,NA())</f>
        <v>#N/A</v>
      </c>
      <c r="AE42" t="str">
        <f>IF(A42&lt;('2. Inputs and results'!$B$23+1),-'2. Inputs and results'!$B$124*A42," ")</f>
        <v xml:space="preserve"> </v>
      </c>
      <c r="AF42" t="e">
        <f>IF(A42&lt;('2. Inputs and results'!$B$23+1),AE42/1000,NA())</f>
        <v>#N/A</v>
      </c>
    </row>
    <row r="43" spans="1:32">
      <c r="A43">
        <f t="shared" si="0"/>
        <v>38</v>
      </c>
      <c r="B43" t="str">
        <f>IF(A43&lt;('2. Inputs and results'!$B$23+1),A43," ")</f>
        <v xml:space="preserve"> </v>
      </c>
      <c r="C43" s="4" t="str">
        <f>IF(A43&lt;('2. Inputs and results'!$B$23+1),'2. Inputs and results'!$B$101+'2. Inputs and results'!$B$103," ")</f>
        <v xml:space="preserve"> </v>
      </c>
      <c r="D43" s="4" t="e">
        <f>IF(A43&lt;('2. Inputs and results'!$B$23+1),D42+C43,NA())</f>
        <v>#N/A</v>
      </c>
      <c r="E43" s="4" t="str">
        <f>IF(B43&lt;('2. Inputs and results'!$B$23+1),C43/((1+$P$2)^A43)," ")</f>
        <v xml:space="preserve"> </v>
      </c>
      <c r="F43" s="4" t="str">
        <f>IF(A43&lt;('2. Inputs and results'!$B$23+1),F42+E43," ")</f>
        <v xml:space="preserve"> </v>
      </c>
      <c r="G43" s="4" t="str">
        <f>IF(A43&lt;('2. Inputs and results'!$B$23+1),G42*(1+'2. Inputs and results'!$B$48)," ")</f>
        <v xml:space="preserve"> </v>
      </c>
      <c r="H43" s="4" t="str">
        <f>IF(A43&lt;('2. Inputs and results'!$B$23+1),H42*(1+'2. Inputs and results'!$B$60)," ")</f>
        <v xml:space="preserve"> </v>
      </c>
      <c r="I43" s="4" t="str">
        <f>IF(A43&lt;('2. Inputs and results'!$B$23+1),I42*(1+'2. Inputs and results'!$B$36)," ")</f>
        <v xml:space="preserve"> </v>
      </c>
      <c r="J43" s="4" t="str">
        <f>IF(A43&lt;('2. Inputs and results'!$B$23+1),J42*(1+'2. Inputs and results'!$B$70)," ")</f>
        <v xml:space="preserve"> </v>
      </c>
      <c r="K43" s="4" t="e">
        <f>IF('Solution 1, (hidden) (2)'!A43&lt;('2. Inputs and results'!$B$23+1),K42+(G43+I43+H43+J43),NA())</f>
        <v>#N/A</v>
      </c>
      <c r="L43" s="4" t="e">
        <f>IF(A43&lt;('2. Inputs and results'!$B$23+1),L42,NA())</f>
        <v>#N/A</v>
      </c>
      <c r="M43" s="4" t="str">
        <f>IF(A43&lt;('2. Inputs and results'!$B$23+1),'2. Inputs and results'!$B$77*'2. Inputs and results'!$B$75," ")</f>
        <v xml:space="preserve"> </v>
      </c>
      <c r="N43" s="4" t="str">
        <f>IF(A43&lt;('2. Inputs and results'!$B$23+1),M43/((1+$P$2)^A43)," ")</f>
        <v xml:space="preserve"> </v>
      </c>
      <c r="O43" s="4" t="str">
        <f>IF(A43&lt;('2. Inputs and results'!$B$23+1),'2. Inputs and results'!$B$75*'2. Inputs and results'!$B$77+O42," ")</f>
        <v xml:space="preserve"> </v>
      </c>
      <c r="P43" s="4" t="str">
        <f>IF(A43&lt;('2. Inputs and results'!$B$23+1),(G43+I43+H43+J43)/((1+$P$2)^A43)," ")</f>
        <v xml:space="preserve"> </v>
      </c>
      <c r="Q43" s="4" t="str">
        <f>IF(A43&lt;('2. Inputs and results'!$B$23+1),Q42+P43," ")</f>
        <v xml:space="preserve"> </v>
      </c>
      <c r="R43" s="4" t="e">
        <f>IF(A43&lt;('2. Inputs and results'!$B$23+1),R42+G43+I43+H43+J43+T43-$V$6,NA())</f>
        <v>#N/A</v>
      </c>
      <c r="S43" s="4" t="str">
        <f>IF(A43&lt;('2. Inputs and results'!$B$23+1),'2. Inputs and results'!$B$81*(R42)," ")</f>
        <v xml:space="preserve"> </v>
      </c>
      <c r="T43" s="4">
        <f t="shared" si="1"/>
        <v>0</v>
      </c>
      <c r="U43" s="4" t="e">
        <f>IF(A43&lt;('2. Inputs and results'!$B$23+1),U42+(T43+I43+G43+H43+J43-$V$6)/((1+$P$2)^A43),NA())</f>
        <v>#N/A</v>
      </c>
      <c r="V43" s="4" t="str">
        <f>IF(A43&lt;('2. Inputs and results'!$B$23+1),V42+('2. Inputs and results'!$B$77*'2. Inputs and results'!$B$75)," ")</f>
        <v xml:space="preserve"> </v>
      </c>
      <c r="W43" s="4" t="e">
        <f>IF(A43&lt;('2. Inputs and results'!$B$23+1),W42+C43+Y43-$V$6,NA())</f>
        <v>#N/A</v>
      </c>
      <c r="X43" s="4" t="str">
        <f>IF(A43&lt;('2. Inputs and results'!$B$23+1),'2. Inputs and results'!$B$81*W42," ")</f>
        <v xml:space="preserve"> </v>
      </c>
      <c r="Y43" s="4">
        <f t="shared" si="2"/>
        <v>0</v>
      </c>
      <c r="Z43" s="4" t="e">
        <f>IF(A43&lt;('2. Inputs and results'!$B$23+1),Z42+(C43-$V$6+Y43)/((1+$P$2)^A43),NA())</f>
        <v>#N/A</v>
      </c>
      <c r="AA43" s="4" t="str">
        <f>IF(A43&lt;('2. Inputs and results'!$B$23+1),AA42+(G43+I43+H43+T43-$V$6)," ")</f>
        <v xml:space="preserve"> </v>
      </c>
      <c r="AB43" s="11" t="e">
        <f>IF(A43&lt;('2. Inputs and results'!$B$23+1),AA43/L43,NA())</f>
        <v>#N/A</v>
      </c>
      <c r="AC43" s="12" t="str">
        <f>IF(A43&lt;('2. Inputs and results'!$B$23+1),AC42+(C43+Y43-$V$6)," ")</f>
        <v xml:space="preserve"> </v>
      </c>
      <c r="AD43" s="11" t="e">
        <f>IF(A43&lt;('2. Inputs and results'!$B$23+1),AC43/L43,NA())</f>
        <v>#N/A</v>
      </c>
      <c r="AE43" t="str">
        <f>IF(A43&lt;('2. Inputs and results'!$B$23+1),-'2. Inputs and results'!$B$124*A43," ")</f>
        <v xml:space="preserve"> </v>
      </c>
      <c r="AF43" t="e">
        <f>IF(A43&lt;('2. Inputs and results'!$B$23+1),AE43/1000,NA())</f>
        <v>#N/A</v>
      </c>
    </row>
    <row r="44" spans="1:32">
      <c r="A44">
        <f t="shared" si="0"/>
        <v>39</v>
      </c>
      <c r="B44" t="str">
        <f>IF(A44&lt;('2. Inputs and results'!$B$23+1),A44," ")</f>
        <v xml:space="preserve"> </v>
      </c>
      <c r="C44" s="4" t="str">
        <f>IF(A44&lt;('2. Inputs and results'!$B$23+1),'2. Inputs and results'!$B$101+'2. Inputs and results'!$B$103," ")</f>
        <v xml:space="preserve"> </v>
      </c>
      <c r="D44" s="4" t="e">
        <f>IF(A44&lt;('2. Inputs and results'!$B$23+1),D43+C44,NA())</f>
        <v>#N/A</v>
      </c>
      <c r="E44" s="4" t="str">
        <f>IF(B44&lt;('2. Inputs and results'!$B$23+1),C44/((1+$P$2)^A44)," ")</f>
        <v xml:space="preserve"> </v>
      </c>
      <c r="F44" s="4" t="str">
        <f>IF(A44&lt;('2. Inputs and results'!$B$23+1),F43+E44," ")</f>
        <v xml:space="preserve"> </v>
      </c>
      <c r="G44" s="4" t="str">
        <f>IF(A44&lt;('2. Inputs and results'!$B$23+1),G43*(1+'2. Inputs and results'!$B$48)," ")</f>
        <v xml:space="preserve"> </v>
      </c>
      <c r="H44" s="4" t="str">
        <f>IF(A44&lt;('2. Inputs and results'!$B$23+1),H43*(1+'2. Inputs and results'!$B$60)," ")</f>
        <v xml:space="preserve"> </v>
      </c>
      <c r="I44" s="4" t="str">
        <f>IF(A44&lt;('2. Inputs and results'!$B$23+1),I43*(1+'2. Inputs and results'!$B$36)," ")</f>
        <v xml:space="preserve"> </v>
      </c>
      <c r="J44" s="4" t="str">
        <f>IF(A44&lt;('2. Inputs and results'!$B$23+1),J43*(1+'2. Inputs and results'!$B$70)," ")</f>
        <v xml:space="preserve"> </v>
      </c>
      <c r="K44" s="4" t="e">
        <f>IF('Solution 1, (hidden) (2)'!A44&lt;('2. Inputs and results'!$B$23+1),K43+(G44+I44+H44+J44),NA())</f>
        <v>#N/A</v>
      </c>
      <c r="L44" s="4" t="e">
        <f>IF(A44&lt;('2. Inputs and results'!$B$23+1),L43,NA())</f>
        <v>#N/A</v>
      </c>
      <c r="M44" s="4" t="str">
        <f>IF(A44&lt;('2. Inputs and results'!$B$23+1),'2. Inputs and results'!$B$77*'2. Inputs and results'!$B$75," ")</f>
        <v xml:space="preserve"> </v>
      </c>
      <c r="N44" s="4" t="str">
        <f>IF(A44&lt;('2. Inputs and results'!$B$23+1),M44/((1+$P$2)^A44)," ")</f>
        <v xml:space="preserve"> </v>
      </c>
      <c r="O44" s="4" t="str">
        <f>IF(A44&lt;('2. Inputs and results'!$B$23+1),'2. Inputs and results'!$B$75*'2. Inputs and results'!$B$77+O43," ")</f>
        <v xml:space="preserve"> </v>
      </c>
      <c r="P44" s="4" t="str">
        <f>IF(A44&lt;('2. Inputs and results'!$B$23+1),(G44+I44+H44+J44)/((1+$P$2)^A44)," ")</f>
        <v xml:space="preserve"> </v>
      </c>
      <c r="Q44" s="4" t="str">
        <f>IF(A44&lt;('2. Inputs and results'!$B$23+1),Q43+P44," ")</f>
        <v xml:space="preserve"> </v>
      </c>
      <c r="R44" s="4" t="e">
        <f>IF(A44&lt;('2. Inputs and results'!$B$23+1),R43+G44+I44+H44+J44+T44-$V$6,NA())</f>
        <v>#N/A</v>
      </c>
      <c r="S44" s="4" t="str">
        <f>IF(A44&lt;('2. Inputs and results'!$B$23+1),'2. Inputs and results'!$B$81*(R43)," ")</f>
        <v xml:space="preserve"> </v>
      </c>
      <c r="T44" s="4">
        <f t="shared" si="1"/>
        <v>0</v>
      </c>
      <c r="U44" s="4" t="e">
        <f>IF(A44&lt;('2. Inputs and results'!$B$23+1),U43+(T44+I44+G44+H44+J44-$V$6)/((1+$P$2)^A44),NA())</f>
        <v>#N/A</v>
      </c>
      <c r="V44" s="4" t="str">
        <f>IF(A44&lt;('2. Inputs and results'!$B$23+1),V43+('2. Inputs and results'!$B$77*'2. Inputs and results'!$B$75)," ")</f>
        <v xml:space="preserve"> </v>
      </c>
      <c r="W44" s="4" t="e">
        <f>IF(A44&lt;('2. Inputs and results'!$B$23+1),W43+C44+Y44-$V$6,NA())</f>
        <v>#N/A</v>
      </c>
      <c r="X44" s="4" t="str">
        <f>IF(A44&lt;('2. Inputs and results'!$B$23+1),'2. Inputs and results'!$B$81*W43," ")</f>
        <v xml:space="preserve"> </v>
      </c>
      <c r="Y44" s="4">
        <f t="shared" si="2"/>
        <v>0</v>
      </c>
      <c r="Z44" s="4" t="e">
        <f>IF(A44&lt;('2. Inputs and results'!$B$23+1),Z43+(C44-$V$6+Y44)/((1+$P$2)^A44),NA())</f>
        <v>#N/A</v>
      </c>
      <c r="AA44" s="4" t="str">
        <f>IF(A44&lt;('2. Inputs and results'!$B$23+1),AA43+(G44+I44+H44+T44-$V$6)," ")</f>
        <v xml:space="preserve"> </v>
      </c>
      <c r="AB44" s="11" t="e">
        <f>IF(A44&lt;('2. Inputs and results'!$B$23+1),AA44/L44,NA())</f>
        <v>#N/A</v>
      </c>
      <c r="AC44" s="12" t="str">
        <f>IF(A44&lt;('2. Inputs and results'!$B$23+1),AC43+(C44+Y44-$V$6)," ")</f>
        <v xml:space="preserve"> </v>
      </c>
      <c r="AD44" s="11" t="e">
        <f>IF(A44&lt;('2. Inputs and results'!$B$23+1),AC44/L44,NA())</f>
        <v>#N/A</v>
      </c>
      <c r="AE44" t="str">
        <f>IF(A44&lt;('2. Inputs and results'!$B$23+1),-'2. Inputs and results'!$B$124*A44," ")</f>
        <v xml:space="preserve"> </v>
      </c>
      <c r="AF44" t="e">
        <f>IF(A44&lt;('2. Inputs and results'!$B$23+1),AE44/1000,NA())</f>
        <v>#N/A</v>
      </c>
    </row>
    <row r="45" spans="1:32">
      <c r="A45">
        <f t="shared" si="0"/>
        <v>40</v>
      </c>
      <c r="B45" t="str">
        <f>IF(A45&lt;('2. Inputs and results'!$B$23+1),A45," ")</f>
        <v xml:space="preserve"> </v>
      </c>
      <c r="C45" s="4" t="str">
        <f>IF(A45&lt;('2. Inputs and results'!$B$23+1),'2. Inputs and results'!$B$101+'2. Inputs and results'!$B$103," ")</f>
        <v xml:space="preserve"> </v>
      </c>
      <c r="D45" s="4" t="e">
        <f>IF(A45&lt;('2. Inputs and results'!$B$23+1),D44+C45,NA())</f>
        <v>#N/A</v>
      </c>
      <c r="E45" s="4" t="str">
        <f>IF(B45&lt;('2. Inputs and results'!$B$23+1),C45/((1+$P$2)^A45)," ")</f>
        <v xml:space="preserve"> </v>
      </c>
      <c r="F45" s="4" t="str">
        <f>IF(A45&lt;('2. Inputs and results'!$B$23+1),F44+E45," ")</f>
        <v xml:space="preserve"> </v>
      </c>
      <c r="G45" s="4" t="str">
        <f>IF(A45&lt;('2. Inputs and results'!$B$23+1),G44*(1+'2. Inputs and results'!$B$48)," ")</f>
        <v xml:space="preserve"> </v>
      </c>
      <c r="H45" s="4" t="str">
        <f>IF(A45&lt;('2. Inputs and results'!$B$23+1),H44*(1+'2. Inputs and results'!$B$60)," ")</f>
        <v xml:space="preserve"> </v>
      </c>
      <c r="I45" s="4" t="str">
        <f>IF(A45&lt;('2. Inputs and results'!$B$23+1),I44*(1+'2. Inputs and results'!$B$36)," ")</f>
        <v xml:space="preserve"> </v>
      </c>
      <c r="J45" s="4" t="str">
        <f>IF(A45&lt;('2. Inputs and results'!$B$23+1),J44*(1+'2. Inputs and results'!$B$70)," ")</f>
        <v xml:space="preserve"> </v>
      </c>
      <c r="K45" s="4" t="e">
        <f>IF('Solution 1, (hidden) (2)'!A45&lt;('2. Inputs and results'!$B$23+1),K44+(G45+I45+H45+J45),NA())</f>
        <v>#N/A</v>
      </c>
      <c r="L45" s="4" t="e">
        <f>IF(A45&lt;('2. Inputs and results'!$B$23+1),L44,NA())</f>
        <v>#N/A</v>
      </c>
      <c r="M45" s="4" t="str">
        <f>IF(A45&lt;('2. Inputs and results'!$B$23+1),'2. Inputs and results'!$B$77*'2. Inputs and results'!$B$75," ")</f>
        <v xml:space="preserve"> </v>
      </c>
      <c r="N45" s="4" t="str">
        <f>IF(A45&lt;('2. Inputs and results'!$B$23+1),M45/((1+$P$2)^A45)," ")</f>
        <v xml:space="preserve"> </v>
      </c>
      <c r="O45" s="4" t="str">
        <f>IF(A45&lt;('2. Inputs and results'!$B$23+1),'2. Inputs and results'!$B$75*'2. Inputs and results'!$B$77+O44," ")</f>
        <v xml:space="preserve"> </v>
      </c>
      <c r="P45" s="4" t="str">
        <f>IF(A45&lt;('2. Inputs and results'!$B$23+1),(G45+I45+H45+J45)/((1+$P$2)^A45)," ")</f>
        <v xml:space="preserve"> </v>
      </c>
      <c r="Q45" s="4" t="str">
        <f>IF(A45&lt;('2. Inputs and results'!$B$23+1),Q44+P45," ")</f>
        <v xml:space="preserve"> </v>
      </c>
      <c r="R45" s="4" t="e">
        <f>IF(A45&lt;('2. Inputs and results'!$B$23+1),R44+G45+I45+H45+J45+T45-$V$6,NA())</f>
        <v>#N/A</v>
      </c>
      <c r="S45" s="4" t="str">
        <f>IF(A45&lt;('2. Inputs and results'!$B$23+1),'2. Inputs and results'!$B$81*(R44)," ")</f>
        <v xml:space="preserve"> </v>
      </c>
      <c r="T45" s="4">
        <f t="shared" si="1"/>
        <v>0</v>
      </c>
      <c r="U45" s="4" t="e">
        <f>IF(A45&lt;('2. Inputs and results'!$B$23+1),U44+(T45+I45+G45+H45+J45-$V$6)/((1+$P$2)^A45),NA())</f>
        <v>#N/A</v>
      </c>
      <c r="V45" s="4" t="str">
        <f>IF(A45&lt;('2. Inputs and results'!$B$23+1),V44+('2. Inputs and results'!$B$77*'2. Inputs and results'!$B$75)," ")</f>
        <v xml:space="preserve"> </v>
      </c>
      <c r="W45" s="4" t="e">
        <f>IF(A45&lt;('2. Inputs and results'!$B$23+1),W44+C45+Y45-$V$6,NA())</f>
        <v>#N/A</v>
      </c>
      <c r="X45" s="4" t="str">
        <f>IF(A45&lt;('2. Inputs and results'!$B$23+1),'2. Inputs and results'!$B$81*W44," ")</f>
        <v xml:space="preserve"> </v>
      </c>
      <c r="Y45" s="4">
        <f t="shared" si="2"/>
        <v>0</v>
      </c>
      <c r="Z45" s="4" t="e">
        <f>IF(A45&lt;('2. Inputs and results'!$B$23+1),Z44+(C45-$V$6+Y45)/((1+$P$2)^A45),NA())</f>
        <v>#N/A</v>
      </c>
      <c r="AA45" s="4" t="str">
        <f>IF(A45&lt;('2. Inputs and results'!$B$23+1),AA44+(G45+I45+H45+T45-$V$6)," ")</f>
        <v xml:space="preserve"> </v>
      </c>
      <c r="AB45" s="11" t="e">
        <f>IF(A45&lt;('2. Inputs and results'!$B$23+1),AA45/L45,NA())</f>
        <v>#N/A</v>
      </c>
      <c r="AC45" s="12" t="str">
        <f>IF(A45&lt;('2. Inputs and results'!$B$23+1),AC44+(C45+Y45-$V$6)," ")</f>
        <v xml:space="preserve"> </v>
      </c>
      <c r="AD45" s="11" t="e">
        <f>IF(A45&lt;('2. Inputs and results'!$B$23+1),AC45/L45,NA())</f>
        <v>#N/A</v>
      </c>
      <c r="AE45" t="str">
        <f>IF(A45&lt;('2. Inputs and results'!$B$23+1),-'2. Inputs and results'!$B$124*A45," ")</f>
        <v xml:space="preserve"> </v>
      </c>
      <c r="AF45" t="e">
        <f>IF(A45&lt;('2. Inputs and results'!$B$23+1),AE45/1000,NA())</f>
        <v>#N/A</v>
      </c>
    </row>
    <row r="46" spans="1:32">
      <c r="A46">
        <f t="shared" si="0"/>
        <v>41</v>
      </c>
      <c r="B46" t="str">
        <f>IF(A46&lt;('2. Inputs and results'!$B$23+1),A46," ")</f>
        <v xml:space="preserve"> </v>
      </c>
      <c r="C46" s="4" t="str">
        <f>IF(A46&lt;('2. Inputs and results'!$B$23+1),'2. Inputs and results'!$B$101+'2. Inputs and results'!$B$103," ")</f>
        <v xml:space="preserve"> </v>
      </c>
      <c r="D46" s="4" t="e">
        <f>IF(A46&lt;('2. Inputs and results'!$B$23+1),D45+C46,NA())</f>
        <v>#N/A</v>
      </c>
      <c r="E46" s="4" t="str">
        <f>IF(B46&lt;('2. Inputs and results'!$B$23+1),C46/((1+$P$2)^A46)," ")</f>
        <v xml:space="preserve"> </v>
      </c>
      <c r="F46" s="4" t="str">
        <f>IF(A46&lt;('2. Inputs and results'!$B$23+1),F45+E46," ")</f>
        <v xml:space="preserve"> </v>
      </c>
      <c r="G46" s="4" t="str">
        <f>IF(A46&lt;('2. Inputs and results'!$B$23+1),G45*(1+'2. Inputs and results'!$B$48)," ")</f>
        <v xml:space="preserve"> </v>
      </c>
      <c r="H46" s="4" t="str">
        <f>IF(A46&lt;('2. Inputs and results'!$B$23+1),H45*(1+'2. Inputs and results'!$B$60)," ")</f>
        <v xml:space="preserve"> </v>
      </c>
      <c r="I46" s="4" t="str">
        <f>IF(A46&lt;('2. Inputs and results'!$B$23+1),I45*(1+'2. Inputs and results'!$B$36)," ")</f>
        <v xml:space="preserve"> </v>
      </c>
      <c r="J46" s="4" t="str">
        <f>IF(A46&lt;('2. Inputs and results'!$B$23+1),J45*(1+'2. Inputs and results'!$B$70)," ")</f>
        <v xml:space="preserve"> </v>
      </c>
      <c r="K46" s="4" t="e">
        <f>IF('Solution 1, (hidden) (2)'!A46&lt;('2. Inputs and results'!$B$23+1),K45+(G46+I46+H46+J46),NA())</f>
        <v>#N/A</v>
      </c>
      <c r="L46" s="4" t="e">
        <f>IF(A46&lt;('2. Inputs and results'!$B$23+1),L45,NA())</f>
        <v>#N/A</v>
      </c>
      <c r="M46" s="4" t="str">
        <f>IF(A46&lt;('2. Inputs and results'!$B$23+1),'2. Inputs and results'!$B$77*'2. Inputs and results'!$B$75," ")</f>
        <v xml:space="preserve"> </v>
      </c>
      <c r="N46" s="4" t="str">
        <f>IF(A46&lt;('2. Inputs and results'!$B$23+1),M46/((1+$P$2)^A46)," ")</f>
        <v xml:space="preserve"> </v>
      </c>
      <c r="O46" s="4" t="str">
        <f>IF(A46&lt;('2. Inputs and results'!$B$23+1),'2. Inputs and results'!$B$75*'2. Inputs and results'!$B$77+O45," ")</f>
        <v xml:space="preserve"> </v>
      </c>
      <c r="P46" s="4" t="str">
        <f>IF(A46&lt;('2. Inputs and results'!$B$23+1),(G46+I46+H46+J46)/((1+$P$2)^A46)," ")</f>
        <v xml:space="preserve"> </v>
      </c>
      <c r="Q46" s="4" t="str">
        <f>IF(A46&lt;('2. Inputs and results'!$B$23+1),Q45+P46," ")</f>
        <v xml:space="preserve"> </v>
      </c>
      <c r="R46" s="4" t="e">
        <f>IF(A46&lt;('2. Inputs and results'!$B$23+1),R45+G46+I46+H46+J46+T46-$V$6,NA())</f>
        <v>#N/A</v>
      </c>
      <c r="S46" s="4" t="str">
        <f>IF(A46&lt;('2. Inputs and results'!$B$23+1),'2. Inputs and results'!$B$81*(R45)," ")</f>
        <v xml:space="preserve"> </v>
      </c>
      <c r="T46" s="4">
        <f t="shared" si="1"/>
        <v>0</v>
      </c>
      <c r="U46" s="4" t="e">
        <f>IF(A46&lt;('2. Inputs and results'!$B$23+1),U45+(T46+I46+G46+H46+J46-$V$6)/((1+$P$2)^A46),NA())</f>
        <v>#N/A</v>
      </c>
      <c r="V46" s="4" t="str">
        <f>IF(A46&lt;('2. Inputs and results'!$B$23+1),V45+('2. Inputs and results'!$B$77*'2. Inputs and results'!$B$75)," ")</f>
        <v xml:space="preserve"> </v>
      </c>
      <c r="W46" s="4" t="e">
        <f>IF(A46&lt;('2. Inputs and results'!$B$23+1),W45+C46+Y46-$V$6,NA())</f>
        <v>#N/A</v>
      </c>
      <c r="X46" s="4" t="str">
        <f>IF(A46&lt;('2. Inputs and results'!$B$23+1),'2. Inputs and results'!$B$81*W45," ")</f>
        <v xml:space="preserve"> </v>
      </c>
      <c r="Y46" s="4">
        <f t="shared" si="2"/>
        <v>0</v>
      </c>
      <c r="Z46" s="4" t="e">
        <f>IF(A46&lt;('2. Inputs and results'!$B$23+1),Z45+(C46-$V$6+Y46)/((1+$P$2)^A46),NA())</f>
        <v>#N/A</v>
      </c>
      <c r="AA46" s="4" t="str">
        <f>IF(A46&lt;('2. Inputs and results'!$B$23+1),AA45+(G46+I46+H46+T46-$V$6)," ")</f>
        <v xml:space="preserve"> </v>
      </c>
      <c r="AB46" s="11" t="e">
        <f>IF(A46&lt;('2. Inputs and results'!$B$23+1),AA46/L46,NA())</f>
        <v>#N/A</v>
      </c>
      <c r="AC46" s="12" t="str">
        <f>IF(A46&lt;('2. Inputs and results'!$B$23+1),AC45+(C46+Y46-$V$6)," ")</f>
        <v xml:space="preserve"> </v>
      </c>
      <c r="AD46" s="11" t="e">
        <f>IF(A46&lt;('2. Inputs and results'!$B$23+1),AC46/L46,NA())</f>
        <v>#N/A</v>
      </c>
      <c r="AE46" t="str">
        <f>IF(A46&lt;('2. Inputs and results'!$B$23+1),-'2. Inputs and results'!$B$124*A46," ")</f>
        <v xml:space="preserve"> </v>
      </c>
      <c r="AF46" t="e">
        <f>IF(A46&lt;('2. Inputs and results'!$B$23+1),AE46/1000,NA())</f>
        <v>#N/A</v>
      </c>
    </row>
    <row r="47" spans="1:32">
      <c r="A47">
        <f t="shared" si="0"/>
        <v>42</v>
      </c>
      <c r="B47" t="str">
        <f>IF(A47&lt;('2. Inputs and results'!$B$23+1),A47," ")</f>
        <v xml:space="preserve"> </v>
      </c>
      <c r="C47" s="4" t="str">
        <f>IF(A47&lt;('2. Inputs and results'!$B$23+1),'2. Inputs and results'!$B$101+'2. Inputs and results'!$B$103," ")</f>
        <v xml:space="preserve"> </v>
      </c>
      <c r="D47" s="4" t="e">
        <f>IF(A47&lt;('2. Inputs and results'!$B$23+1),D46+C47,NA())</f>
        <v>#N/A</v>
      </c>
      <c r="E47" s="4" t="str">
        <f>IF(B47&lt;('2. Inputs and results'!$B$23+1),C47/((1+$P$2)^A47)," ")</f>
        <v xml:space="preserve"> </v>
      </c>
      <c r="F47" s="4" t="str">
        <f>IF(A47&lt;('2. Inputs and results'!$B$23+1),F46+E47," ")</f>
        <v xml:space="preserve"> </v>
      </c>
      <c r="G47" s="4" t="str">
        <f>IF(A47&lt;('2. Inputs and results'!$B$23+1),G46*(1+'2. Inputs and results'!$B$48)," ")</f>
        <v xml:space="preserve"> </v>
      </c>
      <c r="H47" s="4" t="str">
        <f>IF(A47&lt;('2. Inputs and results'!$B$23+1),H46*(1+'2. Inputs and results'!$B$60)," ")</f>
        <v xml:space="preserve"> </v>
      </c>
      <c r="I47" s="4" t="str">
        <f>IF(A47&lt;('2. Inputs and results'!$B$23+1),I46*(1+'2. Inputs and results'!$B$36)," ")</f>
        <v xml:space="preserve"> </v>
      </c>
      <c r="J47" s="4" t="str">
        <f>IF(A47&lt;('2. Inputs and results'!$B$23+1),J46*(1+'2. Inputs and results'!$B$70)," ")</f>
        <v xml:space="preserve"> </v>
      </c>
      <c r="K47" s="4" t="e">
        <f>IF('Solution 1, (hidden) (2)'!A47&lt;('2. Inputs and results'!$B$23+1),K46+(G47+I47+H47+J47),NA())</f>
        <v>#N/A</v>
      </c>
      <c r="L47" s="4" t="e">
        <f>IF(A47&lt;('2. Inputs and results'!$B$23+1),L46,NA())</f>
        <v>#N/A</v>
      </c>
      <c r="M47" s="4" t="str">
        <f>IF(A47&lt;('2. Inputs and results'!$B$23+1),'2. Inputs and results'!$B$77*'2. Inputs and results'!$B$75," ")</f>
        <v xml:space="preserve"> </v>
      </c>
      <c r="N47" s="4" t="str">
        <f>IF(A47&lt;('2. Inputs and results'!$B$23+1),M47/((1+$P$2)^A47)," ")</f>
        <v xml:space="preserve"> </v>
      </c>
      <c r="O47" s="4" t="str">
        <f>IF(A47&lt;('2. Inputs and results'!$B$23+1),'2. Inputs and results'!$B$75*'2. Inputs and results'!$B$77+O46," ")</f>
        <v xml:space="preserve"> </v>
      </c>
      <c r="P47" s="4" t="str">
        <f>IF(A47&lt;('2. Inputs and results'!$B$23+1),(G47+I47+H47+J47)/((1+$P$2)^A47)," ")</f>
        <v xml:space="preserve"> </v>
      </c>
      <c r="Q47" s="4" t="str">
        <f>IF(A47&lt;('2. Inputs and results'!$B$23+1),Q46+P47," ")</f>
        <v xml:space="preserve"> </v>
      </c>
      <c r="R47" s="4" t="e">
        <f>IF(A47&lt;('2. Inputs and results'!$B$23+1),R46+G47+I47+H47+J47+T47-$V$6,NA())</f>
        <v>#N/A</v>
      </c>
      <c r="S47" s="4" t="str">
        <f>IF(A47&lt;('2. Inputs and results'!$B$23+1),'2. Inputs and results'!$B$81*(R46)," ")</f>
        <v xml:space="preserve"> </v>
      </c>
      <c r="T47" s="4">
        <f t="shared" si="1"/>
        <v>0</v>
      </c>
      <c r="U47" s="4" t="e">
        <f>IF(A47&lt;('2. Inputs and results'!$B$23+1),U46+(T47+I47+G47+H47+J47-$V$6)/((1+$P$2)^A47),NA())</f>
        <v>#N/A</v>
      </c>
      <c r="V47" s="4" t="str">
        <f>IF(A47&lt;('2. Inputs and results'!$B$23+1),V46+('2. Inputs and results'!$B$77*'2. Inputs and results'!$B$75)," ")</f>
        <v xml:space="preserve"> </v>
      </c>
      <c r="W47" s="4" t="e">
        <f>IF(A47&lt;('2. Inputs and results'!$B$23+1),W46+C47+Y47-$V$6,NA())</f>
        <v>#N/A</v>
      </c>
      <c r="X47" s="4" t="str">
        <f>IF(A47&lt;('2. Inputs and results'!$B$23+1),'2. Inputs and results'!$B$81*W46," ")</f>
        <v xml:space="preserve"> </v>
      </c>
      <c r="Y47" s="4">
        <f t="shared" si="2"/>
        <v>0</v>
      </c>
      <c r="Z47" s="4" t="e">
        <f>IF(A47&lt;('2. Inputs and results'!$B$23+1),Z46+(C47-$V$6+Y47)/((1+$P$2)^A47),NA())</f>
        <v>#N/A</v>
      </c>
      <c r="AA47" s="4" t="str">
        <f>IF(A47&lt;('2. Inputs and results'!$B$23+1),AA46+(G47+I47+H47+T47-$V$6)," ")</f>
        <v xml:space="preserve"> </v>
      </c>
      <c r="AB47" s="11" t="e">
        <f>IF(A47&lt;('2. Inputs and results'!$B$23+1),AA47/L47,NA())</f>
        <v>#N/A</v>
      </c>
      <c r="AC47" s="12" t="str">
        <f>IF(A47&lt;('2. Inputs and results'!$B$23+1),AC46+(C47+Y47-$V$6)," ")</f>
        <v xml:space="preserve"> </v>
      </c>
      <c r="AD47" s="11" t="e">
        <f>IF(A47&lt;('2. Inputs and results'!$B$23+1),AC47/L47,NA())</f>
        <v>#N/A</v>
      </c>
      <c r="AE47" t="str">
        <f>IF(A47&lt;('2. Inputs and results'!$B$23+1),-'2. Inputs and results'!$B$124*A47," ")</f>
        <v xml:space="preserve"> </v>
      </c>
      <c r="AF47" t="e">
        <f>IF(A47&lt;('2. Inputs and results'!$B$23+1),AE47/1000,NA())</f>
        <v>#N/A</v>
      </c>
    </row>
    <row r="48" spans="1:32">
      <c r="A48">
        <f t="shared" si="0"/>
        <v>43</v>
      </c>
      <c r="B48" t="str">
        <f>IF(A48&lt;('2. Inputs and results'!$B$23+1),A48," ")</f>
        <v xml:space="preserve"> </v>
      </c>
      <c r="C48" s="4" t="str">
        <f>IF(A48&lt;('2. Inputs and results'!$B$23+1),'2. Inputs and results'!$B$101+'2. Inputs and results'!$B$103," ")</f>
        <v xml:space="preserve"> </v>
      </c>
      <c r="D48" s="4" t="e">
        <f>IF(A48&lt;('2. Inputs and results'!$B$23+1),D47+C48,NA())</f>
        <v>#N/A</v>
      </c>
      <c r="E48" s="4" t="str">
        <f>IF(B48&lt;('2. Inputs and results'!$B$23+1),C48/((1+$P$2)^A48)," ")</f>
        <v xml:space="preserve"> </v>
      </c>
      <c r="F48" s="4" t="str">
        <f>IF(A48&lt;('2. Inputs and results'!$B$23+1),F47+E48," ")</f>
        <v xml:space="preserve"> </v>
      </c>
      <c r="G48" s="4" t="str">
        <f>IF(A48&lt;('2. Inputs and results'!$B$23+1),G47*(1+'2. Inputs and results'!$B$48)," ")</f>
        <v xml:space="preserve"> </v>
      </c>
      <c r="H48" s="4" t="str">
        <f>IF(A48&lt;('2. Inputs and results'!$B$23+1),H47*(1+'2. Inputs and results'!$B$60)," ")</f>
        <v xml:space="preserve"> </v>
      </c>
      <c r="I48" s="4" t="str">
        <f>IF(A48&lt;('2. Inputs and results'!$B$23+1),I47*(1+'2. Inputs and results'!$B$36)," ")</f>
        <v xml:space="preserve"> </v>
      </c>
      <c r="J48" s="4" t="str">
        <f>IF(A48&lt;('2. Inputs and results'!$B$23+1),J47*(1+'2. Inputs and results'!$B$70)," ")</f>
        <v xml:space="preserve"> </v>
      </c>
      <c r="K48" s="4" t="e">
        <f>IF('Solution 1, (hidden) (2)'!A48&lt;('2. Inputs and results'!$B$23+1),K47+(G48+I48+H48+J48),NA())</f>
        <v>#N/A</v>
      </c>
      <c r="L48" s="4" t="e">
        <f>IF(A48&lt;('2. Inputs and results'!$B$23+1),L47,NA())</f>
        <v>#N/A</v>
      </c>
      <c r="M48" s="4" t="str">
        <f>IF(A48&lt;('2. Inputs and results'!$B$23+1),'2. Inputs and results'!$B$77*'2. Inputs and results'!$B$75," ")</f>
        <v xml:space="preserve"> </v>
      </c>
      <c r="N48" s="4" t="str">
        <f>IF(A48&lt;('2. Inputs and results'!$B$23+1),M48/((1+$P$2)^A48)," ")</f>
        <v xml:space="preserve"> </v>
      </c>
      <c r="O48" s="4" t="str">
        <f>IF(A48&lt;('2. Inputs and results'!$B$23+1),'2. Inputs and results'!$B$75*'2. Inputs and results'!$B$77+O47," ")</f>
        <v xml:space="preserve"> </v>
      </c>
      <c r="P48" s="4" t="str">
        <f>IF(A48&lt;('2. Inputs and results'!$B$23+1),(G48+I48+H48+J48)/((1+$P$2)^A48)," ")</f>
        <v xml:space="preserve"> </v>
      </c>
      <c r="Q48" s="4" t="str">
        <f>IF(A48&lt;('2. Inputs and results'!$B$23+1),Q47+P48," ")</f>
        <v xml:space="preserve"> </v>
      </c>
      <c r="R48" s="4" t="e">
        <f>IF(A48&lt;('2. Inputs and results'!$B$23+1),R47+G48+I48+H48+J48+T48-$V$6,NA())</f>
        <v>#N/A</v>
      </c>
      <c r="S48" s="4" t="str">
        <f>IF(A48&lt;('2. Inputs and results'!$B$23+1),'2. Inputs and results'!$B$81*(R47)," ")</f>
        <v xml:space="preserve"> </v>
      </c>
      <c r="T48" s="4">
        <f t="shared" si="1"/>
        <v>0</v>
      </c>
      <c r="U48" s="4" t="e">
        <f>IF(A48&lt;('2. Inputs and results'!$B$23+1),U47+(T48+I48+G48+H48+J48-$V$6)/((1+$P$2)^A48),NA())</f>
        <v>#N/A</v>
      </c>
      <c r="V48" s="4" t="str">
        <f>IF(A48&lt;('2. Inputs and results'!$B$23+1),V47+('2. Inputs and results'!$B$77*'2. Inputs and results'!$B$75)," ")</f>
        <v xml:space="preserve"> </v>
      </c>
      <c r="W48" s="4" t="e">
        <f>IF(A48&lt;('2. Inputs and results'!$B$23+1),W47+C48+Y48-$V$6,NA())</f>
        <v>#N/A</v>
      </c>
      <c r="X48" s="4" t="str">
        <f>IF(A48&lt;('2. Inputs and results'!$B$23+1),'2. Inputs and results'!$B$81*W47," ")</f>
        <v xml:space="preserve"> </v>
      </c>
      <c r="Y48" s="4">
        <f t="shared" si="2"/>
        <v>0</v>
      </c>
      <c r="Z48" s="4" t="e">
        <f>IF(A48&lt;('2. Inputs and results'!$B$23+1),Z47+(C48-$V$6+Y48)/((1+$P$2)^A48),NA())</f>
        <v>#N/A</v>
      </c>
      <c r="AA48" s="4" t="str">
        <f>IF(A48&lt;('2. Inputs and results'!$B$23+1),AA47+(G48+I48+H48+T48-$V$6)," ")</f>
        <v xml:space="preserve"> </v>
      </c>
      <c r="AB48" s="11" t="e">
        <f>IF(A48&lt;('2. Inputs and results'!$B$23+1),AA48/L48,NA())</f>
        <v>#N/A</v>
      </c>
      <c r="AC48" s="12" t="str">
        <f>IF(A48&lt;('2. Inputs and results'!$B$23+1),AC47+(C48+Y48-$V$6)," ")</f>
        <v xml:space="preserve"> </v>
      </c>
      <c r="AD48" s="11" t="e">
        <f>IF(A48&lt;('2. Inputs and results'!$B$23+1),AC48/L48,NA())</f>
        <v>#N/A</v>
      </c>
      <c r="AE48" t="str">
        <f>IF(A48&lt;('2. Inputs and results'!$B$23+1),-'2. Inputs and results'!$B$124*A48," ")</f>
        <v xml:space="preserve"> </v>
      </c>
      <c r="AF48" t="e">
        <f>IF(A48&lt;('2. Inputs and results'!$B$23+1),AE48/1000,NA())</f>
        <v>#N/A</v>
      </c>
    </row>
    <row r="49" spans="1:32">
      <c r="A49">
        <f t="shared" si="0"/>
        <v>44</v>
      </c>
      <c r="B49" t="str">
        <f>IF(A49&lt;('2. Inputs and results'!$B$23+1),A49," ")</f>
        <v xml:space="preserve"> </v>
      </c>
      <c r="C49" s="4" t="str">
        <f>IF(A49&lt;('2. Inputs and results'!$B$23+1),'2. Inputs and results'!$B$101+'2. Inputs and results'!$B$103," ")</f>
        <v xml:space="preserve"> </v>
      </c>
      <c r="D49" s="4" t="e">
        <f>IF(A49&lt;('2. Inputs and results'!$B$23+1),D48+C49,NA())</f>
        <v>#N/A</v>
      </c>
      <c r="E49" s="4" t="str">
        <f>IF(B49&lt;('2. Inputs and results'!$B$23+1),C49/((1+$P$2)^A49)," ")</f>
        <v xml:space="preserve"> </v>
      </c>
      <c r="F49" s="4" t="str">
        <f>IF(A49&lt;('2. Inputs and results'!$B$23+1),F48+E49," ")</f>
        <v xml:space="preserve"> </v>
      </c>
      <c r="G49" s="4" t="str">
        <f>IF(A49&lt;('2. Inputs and results'!$B$23+1),G48*(1+'2. Inputs and results'!$B$48)," ")</f>
        <v xml:space="preserve"> </v>
      </c>
      <c r="H49" s="4" t="str">
        <f>IF(A49&lt;('2. Inputs and results'!$B$23+1),H48*(1+'2. Inputs and results'!$B$60)," ")</f>
        <v xml:space="preserve"> </v>
      </c>
      <c r="I49" s="4" t="str">
        <f>IF(A49&lt;('2. Inputs and results'!$B$23+1),I48*(1+'2. Inputs and results'!$B$36)," ")</f>
        <v xml:space="preserve"> </v>
      </c>
      <c r="J49" s="4" t="str">
        <f>IF(A49&lt;('2. Inputs and results'!$B$23+1),J48*(1+'2. Inputs and results'!$B$70)," ")</f>
        <v xml:space="preserve"> </v>
      </c>
      <c r="K49" s="4" t="e">
        <f>IF('Solution 1, (hidden) (2)'!A49&lt;('2. Inputs and results'!$B$23+1),K48+(G49+I49+H49+J49),NA())</f>
        <v>#N/A</v>
      </c>
      <c r="L49" s="4" t="e">
        <f>IF(A49&lt;('2. Inputs and results'!$B$23+1),L48,NA())</f>
        <v>#N/A</v>
      </c>
      <c r="M49" s="4" t="str">
        <f>IF(A49&lt;('2. Inputs and results'!$B$23+1),'2. Inputs and results'!$B$77*'2. Inputs and results'!$B$75," ")</f>
        <v xml:space="preserve"> </v>
      </c>
      <c r="N49" s="4" t="str">
        <f>IF(A49&lt;('2. Inputs and results'!$B$23+1),M49/((1+$P$2)^A49)," ")</f>
        <v xml:space="preserve"> </v>
      </c>
      <c r="O49" s="4" t="str">
        <f>IF(A49&lt;('2. Inputs and results'!$B$23+1),'2. Inputs and results'!$B$75*'2. Inputs and results'!$B$77+O48," ")</f>
        <v xml:space="preserve"> </v>
      </c>
      <c r="P49" s="4" t="str">
        <f>IF(A49&lt;('2. Inputs and results'!$B$23+1),(G49+I49+H49+J49)/((1+$P$2)^A49)," ")</f>
        <v xml:space="preserve"> </v>
      </c>
      <c r="Q49" s="4" t="str">
        <f>IF(A49&lt;('2. Inputs and results'!$B$23+1),Q48+P49," ")</f>
        <v xml:space="preserve"> </v>
      </c>
      <c r="R49" s="4" t="e">
        <f>IF(A49&lt;('2. Inputs and results'!$B$23+1),R48+G49+I49+H49+J49+T49-$V$6,NA())</f>
        <v>#N/A</v>
      </c>
      <c r="S49" s="4" t="str">
        <f>IF(A49&lt;('2. Inputs and results'!$B$23+1),'2. Inputs and results'!$B$81*(R48)," ")</f>
        <v xml:space="preserve"> </v>
      </c>
      <c r="T49" s="4">
        <f t="shared" si="1"/>
        <v>0</v>
      </c>
      <c r="U49" s="4" t="e">
        <f>IF(A49&lt;('2. Inputs and results'!$B$23+1),U48+(T49+I49+G49+H49+J49-$V$6)/((1+$P$2)^A49),NA())</f>
        <v>#N/A</v>
      </c>
      <c r="V49" s="4" t="str">
        <f>IF(A49&lt;('2. Inputs and results'!$B$23+1),V48+('2. Inputs and results'!$B$77*'2. Inputs and results'!$B$75)," ")</f>
        <v xml:space="preserve"> </v>
      </c>
      <c r="W49" s="4" t="e">
        <f>IF(A49&lt;('2. Inputs and results'!$B$23+1),W48+C49+Y49-$V$6,NA())</f>
        <v>#N/A</v>
      </c>
      <c r="X49" s="4" t="str">
        <f>IF(A49&lt;('2. Inputs and results'!$B$23+1),'2. Inputs and results'!$B$81*W48," ")</f>
        <v xml:space="preserve"> </v>
      </c>
      <c r="Y49" s="4">
        <f t="shared" si="2"/>
        <v>0</v>
      </c>
      <c r="Z49" s="4" t="e">
        <f>IF(A49&lt;('2. Inputs and results'!$B$23+1),Z48+(C49-$V$6+Y49)/((1+$P$2)^A49),NA())</f>
        <v>#N/A</v>
      </c>
      <c r="AA49" s="4" t="str">
        <f>IF(A49&lt;('2. Inputs and results'!$B$23+1),AA48+(G49+I49+H49+T49-$V$6)," ")</f>
        <v xml:space="preserve"> </v>
      </c>
      <c r="AB49" s="11" t="e">
        <f>IF(A49&lt;('2. Inputs and results'!$B$23+1),AA49/L49,NA())</f>
        <v>#N/A</v>
      </c>
      <c r="AC49" s="12" t="str">
        <f>IF(A49&lt;('2. Inputs and results'!$B$23+1),AC48+(C49+Y49-$V$6)," ")</f>
        <v xml:space="preserve"> </v>
      </c>
      <c r="AD49" s="11" t="e">
        <f>IF(A49&lt;('2. Inputs and results'!$B$23+1),AC49/L49,NA())</f>
        <v>#N/A</v>
      </c>
      <c r="AE49" t="str">
        <f>IF(A49&lt;('2. Inputs and results'!$B$23+1),-'2. Inputs and results'!$B$124*A49," ")</f>
        <v xml:space="preserve"> </v>
      </c>
      <c r="AF49" t="e">
        <f>IF(A49&lt;('2. Inputs and results'!$B$23+1),AE49/1000,NA())</f>
        <v>#N/A</v>
      </c>
    </row>
    <row r="50" spans="1:32">
      <c r="A50">
        <f t="shared" si="0"/>
        <v>45</v>
      </c>
      <c r="B50" t="str">
        <f>IF(A50&lt;('2. Inputs and results'!$B$23+1),A50," ")</f>
        <v xml:space="preserve"> </v>
      </c>
      <c r="C50" s="4" t="str">
        <f>IF(A50&lt;('2. Inputs and results'!$B$23+1),'2. Inputs and results'!$B$101+'2. Inputs and results'!$B$103," ")</f>
        <v xml:space="preserve"> </v>
      </c>
      <c r="D50" s="4" t="e">
        <f>IF(A50&lt;('2. Inputs and results'!$B$23+1),D49+C50,NA())</f>
        <v>#N/A</v>
      </c>
      <c r="E50" s="4" t="str">
        <f>IF(B50&lt;('2. Inputs and results'!$B$23+1),C50/((1+$P$2)^A50)," ")</f>
        <v xml:space="preserve"> </v>
      </c>
      <c r="F50" s="4" t="str">
        <f>IF(A50&lt;('2. Inputs and results'!$B$23+1),F49+E50," ")</f>
        <v xml:space="preserve"> </v>
      </c>
      <c r="G50" s="4" t="str">
        <f>IF(A50&lt;('2. Inputs and results'!$B$23+1),G49*(1+'2. Inputs and results'!$B$48)," ")</f>
        <v xml:space="preserve"> </v>
      </c>
      <c r="H50" s="4" t="str">
        <f>IF(A50&lt;('2. Inputs and results'!$B$23+1),H49*(1+'2. Inputs and results'!$B$60)," ")</f>
        <v xml:space="preserve"> </v>
      </c>
      <c r="I50" s="4" t="str">
        <f>IF(A50&lt;('2. Inputs and results'!$B$23+1),I49*(1+'2. Inputs and results'!$B$36)," ")</f>
        <v xml:space="preserve"> </v>
      </c>
      <c r="J50" s="4" t="str">
        <f>IF(A50&lt;('2. Inputs and results'!$B$23+1),J49*(1+'2. Inputs and results'!$B$70)," ")</f>
        <v xml:space="preserve"> </v>
      </c>
      <c r="K50" s="4" t="e">
        <f>IF('Solution 1, (hidden) (2)'!A50&lt;('2. Inputs and results'!$B$23+1),K49+(G50+I50+H50+J50),NA())</f>
        <v>#N/A</v>
      </c>
      <c r="L50" s="4" t="e">
        <f>IF(A50&lt;('2. Inputs and results'!$B$23+1),L49,NA())</f>
        <v>#N/A</v>
      </c>
      <c r="M50" s="4" t="str">
        <f>IF(A50&lt;('2. Inputs and results'!$B$23+1),'2. Inputs and results'!$B$77*'2. Inputs and results'!$B$75," ")</f>
        <v xml:space="preserve"> </v>
      </c>
      <c r="N50" s="4" t="str">
        <f>IF(A50&lt;('2. Inputs and results'!$B$23+1),M50/((1+$P$2)^A50)," ")</f>
        <v xml:space="preserve"> </v>
      </c>
      <c r="O50" s="4" t="str">
        <f>IF(A50&lt;('2. Inputs and results'!$B$23+1),'2. Inputs and results'!$B$75*'2. Inputs and results'!$B$77+O49," ")</f>
        <v xml:space="preserve"> </v>
      </c>
      <c r="P50" s="4" t="str">
        <f>IF(A50&lt;('2. Inputs and results'!$B$23+1),(G50+I50+H50+J50)/((1+$P$2)^A50)," ")</f>
        <v xml:space="preserve"> </v>
      </c>
      <c r="Q50" s="4" t="str">
        <f>IF(A50&lt;('2. Inputs and results'!$B$23+1),Q49+P50," ")</f>
        <v xml:space="preserve"> </v>
      </c>
      <c r="R50" s="4" t="e">
        <f>IF(A50&lt;('2. Inputs and results'!$B$23+1),R49+G50+I50+H50+J50+T50-$V$6,NA())</f>
        <v>#N/A</v>
      </c>
      <c r="S50" s="4" t="str">
        <f>IF(A50&lt;('2. Inputs and results'!$B$23+1),'2. Inputs and results'!$B$81*(R49)," ")</f>
        <v xml:space="preserve"> </v>
      </c>
      <c r="T50" s="4">
        <f t="shared" si="1"/>
        <v>0</v>
      </c>
      <c r="U50" s="4" t="e">
        <f>IF(A50&lt;('2. Inputs and results'!$B$23+1),U49+(T50+I50+G50+H50+J50-$V$6)/((1+$P$2)^A50),NA())</f>
        <v>#N/A</v>
      </c>
      <c r="V50" s="4" t="str">
        <f>IF(A50&lt;('2. Inputs and results'!$B$23+1),V49+('2. Inputs and results'!$B$77*'2. Inputs and results'!$B$75)," ")</f>
        <v xml:space="preserve"> </v>
      </c>
      <c r="W50" s="4" t="e">
        <f>IF(A50&lt;('2. Inputs and results'!$B$23+1),W49+C50+Y50-$V$6,NA())</f>
        <v>#N/A</v>
      </c>
      <c r="X50" s="4" t="str">
        <f>IF(A50&lt;('2. Inputs and results'!$B$23+1),'2. Inputs and results'!$B$81*W49," ")</f>
        <v xml:space="preserve"> </v>
      </c>
      <c r="Y50" s="4">
        <f t="shared" si="2"/>
        <v>0</v>
      </c>
      <c r="Z50" s="4" t="e">
        <f>IF(A50&lt;('2. Inputs and results'!$B$23+1),Z49+(C50-$V$6+Y50)/((1+$P$2)^A50),NA())</f>
        <v>#N/A</v>
      </c>
      <c r="AA50" s="4" t="str">
        <f>IF(A50&lt;('2. Inputs and results'!$B$23+1),AA49+(G50+I50+H50+T50-$V$6)," ")</f>
        <v xml:space="preserve"> </v>
      </c>
      <c r="AB50" s="11" t="e">
        <f>IF(A50&lt;('2. Inputs and results'!$B$23+1),AA50/L50,NA())</f>
        <v>#N/A</v>
      </c>
      <c r="AC50" s="12" t="str">
        <f>IF(A50&lt;('2. Inputs and results'!$B$23+1),AC49+(C50+Y50-$V$6)," ")</f>
        <v xml:space="preserve"> </v>
      </c>
      <c r="AD50" s="11" t="e">
        <f>IF(A50&lt;('2. Inputs and results'!$B$23+1),AC50/L50,NA())</f>
        <v>#N/A</v>
      </c>
      <c r="AE50" t="str">
        <f>IF(A50&lt;('2. Inputs and results'!$B$23+1),-'2. Inputs and results'!$B$124*A50," ")</f>
        <v xml:space="preserve"> </v>
      </c>
      <c r="AF50" t="e">
        <f>IF(A50&lt;('2. Inputs and results'!$B$23+1),AE50/1000,NA())</f>
        <v>#N/A</v>
      </c>
    </row>
    <row r="51" spans="1:32">
      <c r="A51">
        <f t="shared" si="0"/>
        <v>46</v>
      </c>
      <c r="B51" t="str">
        <f>IF(A51&lt;('2. Inputs and results'!$B$23+1),A51," ")</f>
        <v xml:space="preserve"> </v>
      </c>
      <c r="C51" s="4" t="str">
        <f>IF(A51&lt;('2. Inputs and results'!$B$23+1),'2. Inputs and results'!$B$101+'2. Inputs and results'!$B$103," ")</f>
        <v xml:space="preserve"> </v>
      </c>
      <c r="D51" s="4" t="e">
        <f>IF(A51&lt;('2. Inputs and results'!$B$23+1),D50+C51,NA())</f>
        <v>#N/A</v>
      </c>
      <c r="E51" s="4" t="str">
        <f>IF(B51&lt;('2. Inputs and results'!$B$23+1),C51/((1+$P$2)^A51)," ")</f>
        <v xml:space="preserve"> </v>
      </c>
      <c r="F51" s="4" t="str">
        <f>IF(A51&lt;('2. Inputs and results'!$B$23+1),F50+E51," ")</f>
        <v xml:space="preserve"> </v>
      </c>
      <c r="G51" s="4" t="str">
        <f>IF(A51&lt;('2. Inputs and results'!$B$23+1),G50*(1+'2. Inputs and results'!$B$48)," ")</f>
        <v xml:space="preserve"> </v>
      </c>
      <c r="H51" s="4" t="str">
        <f>IF(A51&lt;('2. Inputs and results'!$B$23+1),H50*(1+'2. Inputs and results'!$B$60)," ")</f>
        <v xml:space="preserve"> </v>
      </c>
      <c r="I51" s="4" t="str">
        <f>IF(A51&lt;('2. Inputs and results'!$B$23+1),I50*(1+'2. Inputs and results'!$B$36)," ")</f>
        <v xml:space="preserve"> </v>
      </c>
      <c r="J51" s="4" t="str">
        <f>IF(A51&lt;('2. Inputs and results'!$B$23+1),J50*(1+'2. Inputs and results'!$B$70)," ")</f>
        <v xml:space="preserve"> </v>
      </c>
      <c r="K51" s="4" t="e">
        <f>IF('Solution 1, (hidden) (2)'!A51&lt;('2. Inputs and results'!$B$23+1),K50+(G51+I51+H51+J51),NA())</f>
        <v>#N/A</v>
      </c>
      <c r="L51" s="4" t="e">
        <f>IF(A51&lt;('2. Inputs and results'!$B$23+1),L50,NA())</f>
        <v>#N/A</v>
      </c>
      <c r="M51" s="4" t="str">
        <f>IF(A51&lt;('2. Inputs and results'!$B$23+1),'2. Inputs and results'!$B$77*'2. Inputs and results'!$B$75," ")</f>
        <v xml:space="preserve"> </v>
      </c>
      <c r="N51" s="4" t="str">
        <f>IF(A51&lt;('2. Inputs and results'!$B$23+1),M51/((1+$P$2)^A51)," ")</f>
        <v xml:space="preserve"> </v>
      </c>
      <c r="O51" s="4" t="str">
        <f>IF(A51&lt;('2. Inputs and results'!$B$23+1),'2. Inputs and results'!$B$75*'2. Inputs and results'!$B$77+O50," ")</f>
        <v xml:space="preserve"> </v>
      </c>
      <c r="P51" s="4" t="str">
        <f>IF(A51&lt;('2. Inputs and results'!$B$23+1),(G51+I51+H51+J51)/((1+$P$2)^A51)," ")</f>
        <v xml:space="preserve"> </v>
      </c>
      <c r="Q51" s="4" t="str">
        <f>IF(A51&lt;('2. Inputs and results'!$B$23+1),Q50+P51," ")</f>
        <v xml:space="preserve"> </v>
      </c>
      <c r="R51" s="4" t="e">
        <f>IF(A51&lt;('2. Inputs and results'!$B$23+1),R50+G51+I51+H51+J51+T51-$V$6,NA())</f>
        <v>#N/A</v>
      </c>
      <c r="S51" s="4" t="str">
        <f>IF(A51&lt;('2. Inputs and results'!$B$23+1),'2. Inputs and results'!$B$81*(R50)," ")</f>
        <v xml:space="preserve"> </v>
      </c>
      <c r="T51" s="4">
        <f t="shared" si="1"/>
        <v>0</v>
      </c>
      <c r="U51" s="4" t="e">
        <f>IF(A51&lt;('2. Inputs and results'!$B$23+1),U50+(T51+I51+G51+H51+J51-$V$6)/((1+$P$2)^A51),NA())</f>
        <v>#N/A</v>
      </c>
      <c r="V51" s="4" t="str">
        <f>IF(A51&lt;('2. Inputs and results'!$B$23+1),V50+('2. Inputs and results'!$B$77*'2. Inputs and results'!$B$75)," ")</f>
        <v xml:space="preserve"> </v>
      </c>
      <c r="W51" s="4" t="e">
        <f>IF(A51&lt;('2. Inputs and results'!$B$23+1),W50+C51+Y51-$V$6,NA())</f>
        <v>#N/A</v>
      </c>
      <c r="X51" s="4" t="str">
        <f>IF(A51&lt;('2. Inputs and results'!$B$23+1),'2. Inputs and results'!$B$81*W50," ")</f>
        <v xml:space="preserve"> </v>
      </c>
      <c r="Y51" s="4">
        <f t="shared" si="2"/>
        <v>0</v>
      </c>
      <c r="Z51" s="4" t="e">
        <f>IF(A51&lt;('2. Inputs and results'!$B$23+1),Z50+(C51-$V$6+Y51)/((1+$P$2)^A51),NA())</f>
        <v>#N/A</v>
      </c>
      <c r="AA51" s="4" t="str">
        <f>IF(A51&lt;('2. Inputs and results'!$B$23+1),AA50+(G51+I51+H51+T51-$V$6)," ")</f>
        <v xml:space="preserve"> </v>
      </c>
      <c r="AB51" s="11" t="e">
        <f>IF(A51&lt;('2. Inputs and results'!$B$23+1),AA51/L51,NA())</f>
        <v>#N/A</v>
      </c>
      <c r="AC51" s="12" t="str">
        <f>IF(A51&lt;('2. Inputs and results'!$B$23+1),AC50+(C51+Y51-$V$6)," ")</f>
        <v xml:space="preserve"> </v>
      </c>
      <c r="AD51" s="11" t="e">
        <f>IF(A51&lt;('2. Inputs and results'!$B$23+1),AC51/L51,NA())</f>
        <v>#N/A</v>
      </c>
      <c r="AE51" t="str">
        <f>IF(A51&lt;('2. Inputs and results'!$B$23+1),-'2. Inputs and results'!$B$124*A51," ")</f>
        <v xml:space="preserve"> </v>
      </c>
      <c r="AF51" t="e">
        <f>IF(A51&lt;('2. Inputs and results'!$B$23+1),AE51/1000,NA())</f>
        <v>#N/A</v>
      </c>
    </row>
    <row r="52" spans="1:32">
      <c r="A52">
        <f t="shared" si="0"/>
        <v>47</v>
      </c>
      <c r="B52" t="str">
        <f>IF(A52&lt;('2. Inputs and results'!$B$23+1),A52," ")</f>
        <v xml:space="preserve"> </v>
      </c>
      <c r="C52" s="4" t="str">
        <f>IF(A52&lt;('2. Inputs and results'!$B$23+1),'2. Inputs and results'!$B$101+'2. Inputs and results'!$B$103," ")</f>
        <v xml:space="preserve"> </v>
      </c>
      <c r="D52" s="4" t="e">
        <f>IF(A52&lt;('2. Inputs and results'!$B$23+1),D51+C52,NA())</f>
        <v>#N/A</v>
      </c>
      <c r="E52" s="4" t="str">
        <f>IF(B52&lt;('2. Inputs and results'!$B$23+1),C52/((1+$P$2)^A52)," ")</f>
        <v xml:space="preserve"> </v>
      </c>
      <c r="F52" s="4" t="str">
        <f>IF(A52&lt;('2. Inputs and results'!$B$23+1),F51+E52," ")</f>
        <v xml:space="preserve"> </v>
      </c>
      <c r="G52" s="4" t="str">
        <f>IF(A52&lt;('2. Inputs and results'!$B$23+1),G51*(1+'2. Inputs and results'!$B$48)," ")</f>
        <v xml:space="preserve"> </v>
      </c>
      <c r="H52" s="4" t="str">
        <f>IF(A52&lt;('2. Inputs and results'!$B$23+1),H51*(1+'2. Inputs and results'!$B$60)," ")</f>
        <v xml:space="preserve"> </v>
      </c>
      <c r="I52" s="4" t="str">
        <f>IF(A52&lt;('2. Inputs and results'!$B$23+1),I51*(1+'2. Inputs and results'!$B$36)," ")</f>
        <v xml:space="preserve"> </v>
      </c>
      <c r="J52" s="4" t="str">
        <f>IF(A52&lt;('2. Inputs and results'!$B$23+1),J51*(1+'2. Inputs and results'!$B$70)," ")</f>
        <v xml:space="preserve"> </v>
      </c>
      <c r="K52" s="4" t="e">
        <f>IF('Solution 1, (hidden) (2)'!A52&lt;('2. Inputs and results'!$B$23+1),K51+(G52+I52+H52+J52),NA())</f>
        <v>#N/A</v>
      </c>
      <c r="L52" s="4" t="e">
        <f>IF(A52&lt;('2. Inputs and results'!$B$23+1),L51,NA())</f>
        <v>#N/A</v>
      </c>
      <c r="M52" s="4" t="str">
        <f>IF(A52&lt;('2. Inputs and results'!$B$23+1),'2. Inputs and results'!$B$77*'2. Inputs and results'!$B$75," ")</f>
        <v xml:space="preserve"> </v>
      </c>
      <c r="N52" s="4" t="str">
        <f>IF(A52&lt;('2. Inputs and results'!$B$23+1),M52/((1+$P$2)^A52)," ")</f>
        <v xml:space="preserve"> </v>
      </c>
      <c r="O52" s="4" t="str">
        <f>IF(A52&lt;('2. Inputs and results'!$B$23+1),'2. Inputs and results'!$B$75*'2. Inputs and results'!$B$77+O51," ")</f>
        <v xml:space="preserve"> </v>
      </c>
      <c r="P52" s="4" t="str">
        <f>IF(A52&lt;('2. Inputs and results'!$B$23+1),(G52+I52+H52+J52)/((1+$P$2)^A52)," ")</f>
        <v xml:space="preserve"> </v>
      </c>
      <c r="Q52" s="4" t="str">
        <f>IF(A52&lt;('2. Inputs and results'!$B$23+1),Q51+P52," ")</f>
        <v xml:space="preserve"> </v>
      </c>
      <c r="R52" s="4" t="e">
        <f>IF(A52&lt;('2. Inputs and results'!$B$23+1),R51+G52+I52+H52+J52+T52-$V$6,NA())</f>
        <v>#N/A</v>
      </c>
      <c r="S52" s="4" t="str">
        <f>IF(A52&lt;('2. Inputs and results'!$B$23+1),'2. Inputs and results'!$B$81*(R51)," ")</f>
        <v xml:space="preserve"> </v>
      </c>
      <c r="T52" s="4">
        <f t="shared" si="1"/>
        <v>0</v>
      </c>
      <c r="U52" s="4" t="e">
        <f>IF(A52&lt;('2. Inputs and results'!$B$23+1),U51+(T52+I52+G52+H52+J52-$V$6)/((1+$P$2)^A52),NA())</f>
        <v>#N/A</v>
      </c>
      <c r="V52" s="4" t="str">
        <f>IF(A52&lt;('2. Inputs and results'!$B$23+1),V51+('2. Inputs and results'!$B$77*'2. Inputs and results'!$B$75)," ")</f>
        <v xml:space="preserve"> </v>
      </c>
      <c r="W52" s="4" t="e">
        <f>IF(A52&lt;('2. Inputs and results'!$B$23+1),W51+C52+Y52-$V$6,NA())</f>
        <v>#N/A</v>
      </c>
      <c r="X52" s="4" t="str">
        <f>IF(A52&lt;('2. Inputs and results'!$B$23+1),'2. Inputs and results'!$B$81*W51," ")</f>
        <v xml:space="preserve"> </v>
      </c>
      <c r="Y52" s="4">
        <f t="shared" si="2"/>
        <v>0</v>
      </c>
      <c r="Z52" s="4" t="e">
        <f>IF(A52&lt;('2. Inputs and results'!$B$23+1),Z51+(C52-$V$6+Y52)/((1+$P$2)^A52),NA())</f>
        <v>#N/A</v>
      </c>
      <c r="AA52" s="4" t="str">
        <f>IF(A52&lt;('2. Inputs and results'!$B$23+1),AA51+(G52+I52+H52+T52-$V$6)," ")</f>
        <v xml:space="preserve"> </v>
      </c>
      <c r="AB52" s="11" t="e">
        <f>IF(A52&lt;('2. Inputs and results'!$B$23+1),AA52/L52,NA())</f>
        <v>#N/A</v>
      </c>
      <c r="AC52" s="12" t="str">
        <f>IF(A52&lt;('2. Inputs and results'!$B$23+1),AC51+(C52+Y52-$V$6)," ")</f>
        <v xml:space="preserve"> </v>
      </c>
      <c r="AD52" s="11" t="e">
        <f>IF(A52&lt;('2. Inputs and results'!$B$23+1),AC52/L52,NA())</f>
        <v>#N/A</v>
      </c>
      <c r="AE52" t="str">
        <f>IF(A52&lt;('2. Inputs and results'!$B$23+1),-'2. Inputs and results'!$B$124*A52," ")</f>
        <v xml:space="preserve"> </v>
      </c>
      <c r="AF52" t="e">
        <f>IF(A52&lt;('2. Inputs and results'!$B$23+1),AE52/1000,NA())</f>
        <v>#N/A</v>
      </c>
    </row>
    <row r="53" spans="1:32">
      <c r="A53">
        <f t="shared" si="0"/>
        <v>48</v>
      </c>
      <c r="B53" t="str">
        <f>IF(A53&lt;('2. Inputs and results'!$B$23+1),A53," ")</f>
        <v xml:space="preserve"> </v>
      </c>
      <c r="C53" s="4" t="str">
        <f>IF(A53&lt;('2. Inputs and results'!$B$23+1),'2. Inputs and results'!$B$101+'2. Inputs and results'!$B$103," ")</f>
        <v xml:space="preserve"> </v>
      </c>
      <c r="D53" s="4" t="e">
        <f>IF(A53&lt;('2. Inputs and results'!$B$23+1),D52+C53,NA())</f>
        <v>#N/A</v>
      </c>
      <c r="E53" s="4" t="str">
        <f>IF(B53&lt;('2. Inputs and results'!$B$23+1),C53/((1+$P$2)^A53)," ")</f>
        <v xml:space="preserve"> </v>
      </c>
      <c r="F53" s="4" t="str">
        <f>IF(A53&lt;('2. Inputs and results'!$B$23+1),F52+E53," ")</f>
        <v xml:space="preserve"> </v>
      </c>
      <c r="G53" s="4" t="str">
        <f>IF(A53&lt;('2. Inputs and results'!$B$23+1),G52*(1+'2. Inputs and results'!$B$48)," ")</f>
        <v xml:space="preserve"> </v>
      </c>
      <c r="H53" s="4" t="str">
        <f>IF(A53&lt;('2. Inputs and results'!$B$23+1),H52*(1+'2. Inputs and results'!$B$60)," ")</f>
        <v xml:space="preserve"> </v>
      </c>
      <c r="I53" s="4" t="str">
        <f>IF(A53&lt;('2. Inputs and results'!$B$23+1),I52*(1+'2. Inputs and results'!$B$36)," ")</f>
        <v xml:space="preserve"> </v>
      </c>
      <c r="J53" s="4" t="str">
        <f>IF(A53&lt;('2. Inputs and results'!$B$23+1),J52*(1+'2. Inputs and results'!$B$70)," ")</f>
        <v xml:space="preserve"> </v>
      </c>
      <c r="K53" s="4" t="e">
        <f>IF('Solution 1, (hidden) (2)'!A53&lt;('2. Inputs and results'!$B$23+1),K52+(G53+I53+H53+J53),NA())</f>
        <v>#N/A</v>
      </c>
      <c r="L53" s="4" t="e">
        <f>IF(A53&lt;('2. Inputs and results'!$B$23+1),L52,NA())</f>
        <v>#N/A</v>
      </c>
      <c r="M53" s="4" t="str">
        <f>IF(A53&lt;('2. Inputs and results'!$B$23+1),'2. Inputs and results'!$B$77*'2. Inputs and results'!$B$75," ")</f>
        <v xml:space="preserve"> </v>
      </c>
      <c r="N53" s="4" t="str">
        <f>IF(A53&lt;('2. Inputs and results'!$B$23+1),M53/((1+$P$2)^A53)," ")</f>
        <v xml:space="preserve"> </v>
      </c>
      <c r="O53" s="4" t="str">
        <f>IF(A53&lt;('2. Inputs and results'!$B$23+1),'2. Inputs and results'!$B$75*'2. Inputs and results'!$B$77+O52," ")</f>
        <v xml:space="preserve"> </v>
      </c>
      <c r="P53" s="4" t="str">
        <f>IF(A53&lt;('2. Inputs and results'!$B$23+1),(G53+I53+H53+J53)/((1+$P$2)^A53)," ")</f>
        <v xml:space="preserve"> </v>
      </c>
      <c r="Q53" s="4" t="str">
        <f>IF(A53&lt;('2. Inputs and results'!$B$23+1),Q52+P53," ")</f>
        <v xml:space="preserve"> </v>
      </c>
      <c r="R53" s="4" t="e">
        <f>IF(A53&lt;('2. Inputs and results'!$B$23+1),R52+G53+I53+H53+J53+T53-$V$6,NA())</f>
        <v>#N/A</v>
      </c>
      <c r="S53" s="4" t="str">
        <f>IF(A53&lt;('2. Inputs and results'!$B$23+1),'2. Inputs and results'!$B$81*(R52)," ")</f>
        <v xml:space="preserve"> </v>
      </c>
      <c r="T53" s="4">
        <f t="shared" si="1"/>
        <v>0</v>
      </c>
      <c r="U53" s="4" t="e">
        <f>IF(A53&lt;('2. Inputs and results'!$B$23+1),U52+(T53+I53+G53+H53+J53-$V$6)/((1+$P$2)^A53),NA())</f>
        <v>#N/A</v>
      </c>
      <c r="V53" s="4" t="str">
        <f>IF(A53&lt;('2. Inputs and results'!$B$23+1),V52+('2. Inputs and results'!$B$77*'2. Inputs and results'!$B$75)," ")</f>
        <v xml:space="preserve"> </v>
      </c>
      <c r="W53" s="4" t="e">
        <f>IF(A53&lt;('2. Inputs and results'!$B$23+1),W52+C53+Y53-$V$6,NA())</f>
        <v>#N/A</v>
      </c>
      <c r="X53" s="4" t="str">
        <f>IF(A53&lt;('2. Inputs and results'!$B$23+1),'2. Inputs and results'!$B$81*W52," ")</f>
        <v xml:space="preserve"> </v>
      </c>
      <c r="Y53" s="4">
        <f t="shared" si="2"/>
        <v>0</v>
      </c>
      <c r="Z53" s="4" t="e">
        <f>IF(A53&lt;('2. Inputs and results'!$B$23+1),Z52+(C53-$V$6+Y53)/((1+$P$2)^A53),NA())</f>
        <v>#N/A</v>
      </c>
      <c r="AA53" s="4" t="str">
        <f>IF(A53&lt;('2. Inputs and results'!$B$23+1),AA52+(G53+I53+H53+T53-$V$6)," ")</f>
        <v xml:space="preserve"> </v>
      </c>
      <c r="AB53" s="11" t="e">
        <f>IF(A53&lt;('2. Inputs and results'!$B$23+1),AA53/L53,NA())</f>
        <v>#N/A</v>
      </c>
      <c r="AC53" s="12" t="str">
        <f>IF(A53&lt;('2. Inputs and results'!$B$23+1),AC52+(C53+Y53-$V$6)," ")</f>
        <v xml:space="preserve"> </v>
      </c>
      <c r="AD53" s="11" t="e">
        <f>IF(A53&lt;('2. Inputs and results'!$B$23+1),AC53/L53,NA())</f>
        <v>#N/A</v>
      </c>
      <c r="AE53" t="str">
        <f>IF(A53&lt;('2. Inputs and results'!$B$23+1),-'2. Inputs and results'!$B$124*A53," ")</f>
        <v xml:space="preserve"> </v>
      </c>
      <c r="AF53" t="e">
        <f>IF(A53&lt;('2. Inputs and results'!$B$23+1),AE53/1000,NA())</f>
        <v>#N/A</v>
      </c>
    </row>
    <row r="54" spans="1:32">
      <c r="A54">
        <f t="shared" si="0"/>
        <v>49</v>
      </c>
      <c r="B54" t="str">
        <f>IF(A54&lt;('2. Inputs and results'!$B$23+1),A54," ")</f>
        <v xml:space="preserve"> </v>
      </c>
      <c r="C54" s="4" t="str">
        <f>IF(A54&lt;('2. Inputs and results'!$B$23+1),'2. Inputs and results'!$B$101+'2. Inputs and results'!$B$103," ")</f>
        <v xml:space="preserve"> </v>
      </c>
      <c r="D54" s="4" t="e">
        <f>IF(A54&lt;('2. Inputs and results'!$B$23+1),D53+C54,NA())</f>
        <v>#N/A</v>
      </c>
      <c r="E54" s="4" t="str">
        <f>IF(B54&lt;('2. Inputs and results'!$B$23+1),C54/((1+$P$2)^A54)," ")</f>
        <v xml:space="preserve"> </v>
      </c>
      <c r="F54" s="4" t="str">
        <f>IF(A54&lt;('2. Inputs and results'!$B$23+1),F53+E54," ")</f>
        <v xml:space="preserve"> </v>
      </c>
      <c r="G54" s="4" t="str">
        <f>IF(A54&lt;('2. Inputs and results'!$B$23+1),G53*(1+'2. Inputs and results'!$B$48)," ")</f>
        <v xml:space="preserve"> </v>
      </c>
      <c r="H54" s="4" t="str">
        <f>IF(A54&lt;('2. Inputs and results'!$B$23+1),H53*(1+'2. Inputs and results'!$B$60)," ")</f>
        <v xml:space="preserve"> </v>
      </c>
      <c r="I54" s="4" t="str">
        <f>IF(A54&lt;('2. Inputs and results'!$B$23+1),I53*(1+'2. Inputs and results'!$B$36)," ")</f>
        <v xml:space="preserve"> </v>
      </c>
      <c r="J54" s="4" t="str">
        <f>IF(A54&lt;('2. Inputs and results'!$B$23+1),J53*(1+'2. Inputs and results'!$B$70)," ")</f>
        <v xml:space="preserve"> </v>
      </c>
      <c r="K54" s="4" t="e">
        <f>IF('Solution 1, (hidden) (2)'!A54&lt;('2. Inputs and results'!$B$23+1),K53+(G54+I54+H54+J54),NA())</f>
        <v>#N/A</v>
      </c>
      <c r="L54" s="4" t="e">
        <f>IF(A54&lt;('2. Inputs and results'!$B$23+1),L53,NA())</f>
        <v>#N/A</v>
      </c>
      <c r="M54" s="4" t="str">
        <f>IF(A54&lt;('2. Inputs and results'!$B$23+1),'2. Inputs and results'!$B$77*'2. Inputs and results'!$B$75," ")</f>
        <v xml:space="preserve"> </v>
      </c>
      <c r="N54" s="4" t="str">
        <f>IF(A54&lt;('2. Inputs and results'!$B$23+1),M54/((1+$P$2)^A54)," ")</f>
        <v xml:space="preserve"> </v>
      </c>
      <c r="O54" s="4" t="str">
        <f>IF(A54&lt;('2. Inputs and results'!$B$23+1),'2. Inputs and results'!$B$75*'2. Inputs and results'!$B$77+O53," ")</f>
        <v xml:space="preserve"> </v>
      </c>
      <c r="P54" s="4" t="str">
        <f>IF(A54&lt;('2. Inputs and results'!$B$23+1),(G54+I54+H54+J54)/((1+$P$2)^A54)," ")</f>
        <v xml:space="preserve"> </v>
      </c>
      <c r="Q54" s="4" t="str">
        <f>IF(A54&lt;('2. Inputs and results'!$B$23+1),Q53+P54," ")</f>
        <v xml:space="preserve"> </v>
      </c>
      <c r="R54" s="4" t="e">
        <f>IF(A54&lt;('2. Inputs and results'!$B$23+1),R53+G54+I54+H54+J54+T54-$V$6,NA())</f>
        <v>#N/A</v>
      </c>
      <c r="S54" s="4" t="str">
        <f>IF(A54&lt;('2. Inputs and results'!$B$23+1),'2. Inputs and results'!$B$81*(R53)," ")</f>
        <v xml:space="preserve"> </v>
      </c>
      <c r="T54" s="4">
        <f t="shared" si="1"/>
        <v>0</v>
      </c>
      <c r="U54" s="4" t="e">
        <f>IF(A54&lt;('2. Inputs and results'!$B$23+1),U53+(T54+I54+G54+H54+J54-$V$6)/((1+$P$2)^A54),NA())</f>
        <v>#N/A</v>
      </c>
      <c r="V54" s="4" t="str">
        <f>IF(A54&lt;('2. Inputs and results'!$B$23+1),V53+('2. Inputs and results'!$B$77*'2. Inputs and results'!$B$75)," ")</f>
        <v xml:space="preserve"> </v>
      </c>
      <c r="W54" s="4" t="e">
        <f>IF(A54&lt;('2. Inputs and results'!$B$23+1),W53+C54+Y54-$V$6,NA())</f>
        <v>#N/A</v>
      </c>
      <c r="X54" s="4" t="str">
        <f>IF(A54&lt;('2. Inputs and results'!$B$23+1),'2. Inputs and results'!$B$81*W53," ")</f>
        <v xml:space="preserve"> </v>
      </c>
      <c r="Y54" s="4">
        <f t="shared" si="2"/>
        <v>0</v>
      </c>
      <c r="Z54" s="4" t="e">
        <f>IF(A54&lt;('2. Inputs and results'!$B$23+1),Z53+(C54-$V$6+Y54)/((1+$P$2)^A54),NA())</f>
        <v>#N/A</v>
      </c>
      <c r="AA54" s="4" t="str">
        <f>IF(A54&lt;('2. Inputs and results'!$B$23+1),AA53+(G54+I54+H54+T54-$V$6)," ")</f>
        <v xml:space="preserve"> </v>
      </c>
      <c r="AB54" s="11" t="e">
        <f>IF(A54&lt;('2. Inputs and results'!$B$23+1),AA54/L54,NA())</f>
        <v>#N/A</v>
      </c>
      <c r="AC54" s="12" t="str">
        <f>IF(A54&lt;('2. Inputs and results'!$B$23+1),AC53+(C54+Y54-$V$6)," ")</f>
        <v xml:space="preserve"> </v>
      </c>
      <c r="AD54" s="11" t="e">
        <f>IF(A54&lt;('2. Inputs and results'!$B$23+1),AC54/L54,NA())</f>
        <v>#N/A</v>
      </c>
      <c r="AE54" t="str">
        <f>IF(A54&lt;('2. Inputs and results'!$B$23+1),-'2. Inputs and results'!$B$124*A54," ")</f>
        <v xml:space="preserve"> </v>
      </c>
      <c r="AF54" t="e">
        <f>IF(A54&lt;('2. Inputs and results'!$B$23+1),AE54/1000,NA())</f>
        <v>#N/A</v>
      </c>
    </row>
    <row r="55" spans="1:32">
      <c r="A55">
        <f t="shared" si="0"/>
        <v>50</v>
      </c>
      <c r="B55" t="str">
        <f>IF(A55&lt;('2. Inputs and results'!$B$23+1),A55," ")</f>
        <v xml:space="preserve"> </v>
      </c>
      <c r="C55" s="4" t="str">
        <f>IF(A55&lt;('2. Inputs and results'!$B$23+1),'2. Inputs and results'!$B$101+'2. Inputs and results'!$B$103," ")</f>
        <v xml:space="preserve"> </v>
      </c>
      <c r="D55" s="4" t="e">
        <f>IF(A55&lt;('2. Inputs and results'!$B$23+1),D54+C55,NA())</f>
        <v>#N/A</v>
      </c>
      <c r="E55" s="4" t="str">
        <f>IF(B55&lt;('2. Inputs and results'!$B$23+1),C55/((1+$P$2)^A55)," ")</f>
        <v xml:space="preserve"> </v>
      </c>
      <c r="F55" s="4" t="str">
        <f>IF(A55&lt;('2. Inputs and results'!$B$23+1),F54+E55," ")</f>
        <v xml:space="preserve"> </v>
      </c>
      <c r="G55" s="4" t="str">
        <f>IF(A55&lt;('2. Inputs and results'!$B$23+1),G54*(1+'2. Inputs and results'!$B$48)," ")</f>
        <v xml:space="preserve"> </v>
      </c>
      <c r="H55" s="4" t="str">
        <f>IF(A55&lt;('2. Inputs and results'!$B$23+1),H54*(1+'2. Inputs and results'!$B$60)," ")</f>
        <v xml:space="preserve"> </v>
      </c>
      <c r="I55" s="4" t="str">
        <f>IF(A55&lt;('2. Inputs and results'!$B$23+1),I54*(1+'2. Inputs and results'!$B$36)," ")</f>
        <v xml:space="preserve"> </v>
      </c>
      <c r="J55" s="4" t="str">
        <f>IF(A55&lt;('2. Inputs and results'!$B$23+1),J54*(1+'2. Inputs and results'!$B$70)," ")</f>
        <v xml:space="preserve"> </v>
      </c>
      <c r="K55" s="4" t="e">
        <f>IF('Solution 1, (hidden) (2)'!A55&lt;('2. Inputs and results'!$B$23+1),K54+(G55+I55+H55+J55),NA())</f>
        <v>#N/A</v>
      </c>
      <c r="L55" s="4" t="e">
        <f>IF(A55&lt;('2. Inputs and results'!$B$23+1),L54,NA())</f>
        <v>#N/A</v>
      </c>
      <c r="M55" s="4" t="str">
        <f>IF(A55&lt;('2. Inputs and results'!$B$23+1),'2. Inputs and results'!$B$77*'2. Inputs and results'!$B$75," ")</f>
        <v xml:space="preserve"> </v>
      </c>
      <c r="N55" s="4" t="str">
        <f>IF(A55&lt;('2. Inputs and results'!$B$23+1),M55/((1+$P$2)^A55)," ")</f>
        <v xml:space="preserve"> </v>
      </c>
      <c r="O55" s="4" t="str">
        <f>IF(A55&lt;('2. Inputs and results'!$B$23+1),'2. Inputs and results'!$B$75*'2. Inputs and results'!$B$77+O54," ")</f>
        <v xml:space="preserve"> </v>
      </c>
      <c r="P55" s="4" t="str">
        <f>IF(A55&lt;('2. Inputs and results'!$B$23+1),(G55+I55+H55+J55)/((1+$P$2)^A55)," ")</f>
        <v xml:space="preserve"> </v>
      </c>
      <c r="Q55" s="4" t="str">
        <f>IF(A55&lt;('2. Inputs and results'!$B$23+1),Q54+P55," ")</f>
        <v xml:space="preserve"> </v>
      </c>
      <c r="R55" s="4" t="e">
        <f>IF(A55&lt;('2. Inputs and results'!$B$23+1),R54+G55+I55+H55+J55+T55-$V$6,NA())</f>
        <v>#N/A</v>
      </c>
      <c r="S55" s="4" t="str">
        <f>IF(A55&lt;('2. Inputs and results'!$B$23+1),'2. Inputs and results'!$B$81*(R54)," ")</f>
        <v xml:space="preserve"> </v>
      </c>
      <c r="T55" s="4">
        <f t="shared" si="1"/>
        <v>0</v>
      </c>
      <c r="U55" s="4" t="e">
        <f>IF(A55&lt;('2. Inputs and results'!$B$23+1),U54+(T55+I55+G55+H55+J55-$V$6)/((1+$P$2)^A55),NA())</f>
        <v>#N/A</v>
      </c>
      <c r="V55" s="4" t="str">
        <f>IF(A55&lt;('2. Inputs and results'!$B$23+1),V54+('2. Inputs and results'!$B$77*'2. Inputs and results'!$B$75)," ")</f>
        <v xml:space="preserve"> </v>
      </c>
      <c r="W55" s="4" t="e">
        <f>IF(A55&lt;('2. Inputs and results'!$B$23+1),W54+C55+Y55-$V$6,NA())</f>
        <v>#N/A</v>
      </c>
      <c r="X55" s="4" t="str">
        <f>IF(A55&lt;('2. Inputs and results'!$B$23+1),'2. Inputs and results'!$B$81*W54," ")</f>
        <v xml:space="preserve"> </v>
      </c>
      <c r="Y55" s="4">
        <f t="shared" si="2"/>
        <v>0</v>
      </c>
      <c r="Z55" s="4" t="e">
        <f>IF(A55&lt;('2. Inputs and results'!$B$23+1),Z54+(C55-$V$6+Y55)/((1+$P$2)^A55),NA())</f>
        <v>#N/A</v>
      </c>
      <c r="AA55" s="4" t="str">
        <f>IF(A55&lt;('2. Inputs and results'!$B$23+1),AA54+(G55+I55+H55+T55-$V$6)," ")</f>
        <v xml:space="preserve"> </v>
      </c>
      <c r="AB55" s="11" t="e">
        <f>IF(A55&lt;('2. Inputs and results'!$B$23+1),AA55/L55,NA())</f>
        <v>#N/A</v>
      </c>
      <c r="AC55" s="12" t="str">
        <f>IF(A55&lt;('2. Inputs and results'!$B$23+1),AC54+(C55+Y55-$V$6)," ")</f>
        <v xml:space="preserve"> </v>
      </c>
      <c r="AD55" s="11" t="e">
        <f>IF(A55&lt;('2. Inputs and results'!$B$23+1),AC55/L55,NA())</f>
        <v>#N/A</v>
      </c>
      <c r="AE55" t="str">
        <f>IF(A55&lt;('2. Inputs and results'!$B$23+1),-'2. Inputs and results'!$B$124*A55," ")</f>
        <v xml:space="preserve"> </v>
      </c>
      <c r="AF55" t="e">
        <f>IF(A55&lt;('2. Inputs and results'!$B$23+1),AE55/1000,NA())</f>
        <v>#N/A</v>
      </c>
    </row>
    <row r="56" spans="1:32">
      <c r="G56" s="4"/>
      <c r="H56" s="4"/>
      <c r="I56" s="4"/>
      <c r="J56" s="4"/>
      <c r="K56" s="4"/>
    </row>
    <row r="57" spans="1:32">
      <c r="H57" s="4"/>
      <c r="I57" s="4"/>
      <c r="J57" s="4"/>
      <c r="K57" s="4"/>
    </row>
    <row r="58" spans="1:32">
      <c r="K58" s="4"/>
    </row>
    <row r="59" spans="1:32">
      <c r="K59" s="4"/>
    </row>
    <row r="60" spans="1:32">
      <c r="K60" s="4"/>
    </row>
  </sheetData>
  <sheetProtection sheet="1" objects="1" scenarios="1"/>
  <conditionalFormatting sqref="D5:D55">
    <cfRule type="expression" dxfId="2" priority="5">
      <formula>#N/A</formula>
    </cfRule>
    <cfRule type="cellIs" dxfId="1" priority="6" operator="equal">
      <formula>#N/A</formula>
    </cfRule>
  </conditionalFormatting>
  <pageMargins left="0.7" right="0.7" top="0.75" bottom="0.75" header="0.3" footer="0.3"/>
  <pageSetup paperSize="9" scale="51"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56"/>
  <sheetViews>
    <sheetView topLeftCell="T1" workbookViewId="0">
      <selection activeCell="U7" sqref="U7"/>
    </sheetView>
  </sheetViews>
  <sheetFormatPr defaultColWidth="9" defaultRowHeight="15"/>
  <cols>
    <col min="1" max="2" width="27.42578125" customWidth="1"/>
    <col min="3" max="3" width="36.5703125" customWidth="1"/>
    <col min="4" max="4" width="34.85546875" customWidth="1"/>
    <col min="5" max="5" width="37.5703125" customWidth="1"/>
    <col min="6" max="6" width="44.140625" customWidth="1"/>
    <col min="7" max="8" width="24.85546875" customWidth="1"/>
    <col min="9" max="10" width="26.42578125" customWidth="1"/>
    <col min="11" max="11" width="33.28515625" customWidth="1"/>
    <col min="12" max="14" width="19.5703125" customWidth="1"/>
    <col min="15" max="15" width="27.85546875" customWidth="1"/>
    <col min="16" max="16" width="32.140625" customWidth="1"/>
    <col min="17" max="17" width="21.7109375" customWidth="1"/>
    <col min="18" max="30" width="32.7109375" customWidth="1"/>
    <col min="31" max="31" width="17.5703125" customWidth="1"/>
  </cols>
  <sheetData>
    <row r="1" spans="1:32">
      <c r="K1" s="5"/>
      <c r="P1" s="6"/>
      <c r="S1" s="5"/>
      <c r="T1" s="5"/>
      <c r="U1" s="9"/>
      <c r="V1" s="5"/>
      <c r="Z1" s="7" t="s">
        <v>285</v>
      </c>
      <c r="AA1" s="7"/>
      <c r="AB1" s="7"/>
      <c r="AC1" s="7"/>
      <c r="AD1" s="7"/>
    </row>
    <row r="2" spans="1:32">
      <c r="O2" s="7" t="s">
        <v>250</v>
      </c>
      <c r="P2" s="8">
        <f>'2. Inputs and results'!C83</f>
        <v>0.04</v>
      </c>
      <c r="R2" s="9" t="s">
        <v>286</v>
      </c>
      <c r="S2" s="9"/>
      <c r="T2" s="9"/>
      <c r="U2" s="9"/>
      <c r="V2" s="9"/>
      <c r="W2" s="9" t="s">
        <v>286</v>
      </c>
      <c r="X2" s="9"/>
      <c r="Y2" s="9"/>
      <c r="Z2" s="9"/>
      <c r="AA2" s="9"/>
      <c r="AB2" s="9"/>
      <c r="AC2" s="9"/>
      <c r="AD2" s="9"/>
    </row>
    <row r="3" spans="1:32">
      <c r="G3" s="1" t="s">
        <v>287</v>
      </c>
      <c r="H3" s="1"/>
      <c r="I3" s="5"/>
      <c r="J3" s="5"/>
      <c r="K3" s="5"/>
      <c r="R3" s="9"/>
      <c r="S3" s="9"/>
      <c r="T3" s="9"/>
      <c r="V3" s="9"/>
      <c r="W3" s="9"/>
      <c r="X3" s="9"/>
      <c r="Y3" s="9"/>
      <c r="AA3" t="s">
        <v>249</v>
      </c>
      <c r="AB3" t="s">
        <v>249</v>
      </c>
      <c r="AC3" t="s">
        <v>249</v>
      </c>
      <c r="AD3" t="s">
        <v>249</v>
      </c>
      <c r="AE3" t="s">
        <v>254</v>
      </c>
    </row>
    <row r="4" spans="1:32">
      <c r="A4" t="s">
        <v>255</v>
      </c>
      <c r="C4" s="2" t="s">
        <v>303</v>
      </c>
      <c r="D4" s="2" t="s">
        <v>257</v>
      </c>
      <c r="E4" s="2" t="s">
        <v>288</v>
      </c>
      <c r="F4" s="2" t="s">
        <v>289</v>
      </c>
      <c r="G4" s="3" t="s">
        <v>260</v>
      </c>
      <c r="H4" s="3" t="s">
        <v>261</v>
      </c>
      <c r="I4" s="3" t="s">
        <v>262</v>
      </c>
      <c r="J4" s="3" t="s">
        <v>263</v>
      </c>
      <c r="K4" s="4" t="s">
        <v>290</v>
      </c>
      <c r="L4" s="4" t="s">
        <v>291</v>
      </c>
      <c r="M4" s="4" t="s">
        <v>266</v>
      </c>
      <c r="N4" s="4" t="s">
        <v>292</v>
      </c>
      <c r="O4" s="4" t="s">
        <v>268</v>
      </c>
      <c r="P4" s="4" t="s">
        <v>293</v>
      </c>
      <c r="Q4" s="4" t="s">
        <v>270</v>
      </c>
      <c r="R4" s="10" t="s">
        <v>294</v>
      </c>
      <c r="S4" s="10" t="s">
        <v>277</v>
      </c>
      <c r="T4" s="10" t="s">
        <v>273</v>
      </c>
      <c r="U4" s="10" t="s">
        <v>295</v>
      </c>
      <c r="V4" s="10" t="s">
        <v>266</v>
      </c>
      <c r="W4" s="2" t="s">
        <v>296</v>
      </c>
      <c r="X4" s="2" t="s">
        <v>277</v>
      </c>
      <c r="Y4" s="2" t="s">
        <v>273</v>
      </c>
      <c r="Z4" s="10" t="s">
        <v>297</v>
      </c>
      <c r="AA4" s="10" t="s">
        <v>298</v>
      </c>
      <c r="AB4" s="9" t="s">
        <v>299</v>
      </c>
      <c r="AC4" s="9" t="s">
        <v>300</v>
      </c>
      <c r="AD4" s="9" t="s">
        <v>301</v>
      </c>
      <c r="AE4" t="s">
        <v>283</v>
      </c>
      <c r="AF4" t="s">
        <v>284</v>
      </c>
    </row>
    <row r="5" spans="1:32">
      <c r="A5">
        <v>0</v>
      </c>
      <c r="B5">
        <f>IF(A5&lt;('2. Inputs and results'!$C$23+1),A5," ")</f>
        <v>0</v>
      </c>
      <c r="C5" s="4">
        <v>0</v>
      </c>
      <c r="D5" s="4">
        <f>C5</f>
        <v>0</v>
      </c>
      <c r="E5" s="4"/>
      <c r="F5" s="4"/>
      <c r="G5" s="4">
        <v>0</v>
      </c>
      <c r="H5" s="4">
        <v>0</v>
      </c>
      <c r="I5" s="4">
        <v>0</v>
      </c>
      <c r="J5" s="4">
        <v>0</v>
      </c>
      <c r="K5" s="4">
        <f>G5+I5+H5+J5</f>
        <v>0</v>
      </c>
      <c r="L5" s="4">
        <f>'2. Inputs and results'!$C$75-('2. Inputs and results'!C79*'2. Inputs and results'!C75)</f>
        <v>595000</v>
      </c>
      <c r="M5" s="4"/>
      <c r="N5" s="4"/>
      <c r="O5" s="4"/>
      <c r="P5" s="4"/>
      <c r="Q5" s="4"/>
      <c r="R5" s="4">
        <f>-L5</f>
        <v>-595000</v>
      </c>
      <c r="S5" s="4"/>
      <c r="T5" s="4"/>
      <c r="U5" s="4">
        <f>R5</f>
        <v>-595000</v>
      </c>
      <c r="V5" s="4"/>
      <c r="W5" s="4">
        <f>-L5</f>
        <v>-595000</v>
      </c>
      <c r="X5" s="4"/>
      <c r="Y5" s="4"/>
      <c r="Z5" s="4">
        <f>W5</f>
        <v>-595000</v>
      </c>
      <c r="AA5" s="4">
        <f>G5+I5+H5+T5-$V$5</f>
        <v>0</v>
      </c>
      <c r="AB5" s="11">
        <f>IF(A5&lt;('2. Inputs and results'!$C$23+1),AA5/L5,NA())</f>
        <v>0</v>
      </c>
      <c r="AC5" s="12">
        <f>C5+Y5-$V$5</f>
        <v>0</v>
      </c>
      <c r="AD5" s="11">
        <f>IF(A5&lt;('2. Inputs and results'!$C$23+1),AC5/L5,NA())</f>
        <v>0</v>
      </c>
      <c r="AE5">
        <f>IF(A5&lt;('2. Inputs and results'!$C$23+1),-'2. Inputs and results'!$C$124*A5," ")</f>
        <v>0</v>
      </c>
      <c r="AF5">
        <f>IF(A5&lt;('2. Inputs and results'!$C$23+1),AE5/1000,NA())</f>
        <v>0</v>
      </c>
    </row>
    <row r="6" spans="1:32">
      <c r="A6">
        <f>A5+1</f>
        <v>1</v>
      </c>
      <c r="B6">
        <f>IF(A6&lt;('2. Inputs and results'!$C$23+1),A6," ")</f>
        <v>1</v>
      </c>
      <c r="C6" s="4">
        <f>IF(A6&lt;('2. Inputs and results'!$C$23+1),'2. Inputs and results'!$C$101+'2. Inputs and results'!$C$103," ")</f>
        <v>57300</v>
      </c>
      <c r="D6" s="4">
        <f>C6</f>
        <v>57300</v>
      </c>
      <c r="E6" s="4">
        <f>IF(A6&lt;('2. Inputs and results'!$C$23+1),C6/((1+$P$2)^A6)," ")</f>
        <v>55096.153846153844</v>
      </c>
      <c r="F6" s="4">
        <f>E6</f>
        <v>55096.153846153844</v>
      </c>
      <c r="G6" s="4">
        <f>'2. Inputs and results'!C95</f>
        <v>58500</v>
      </c>
      <c r="H6" s="4">
        <f>'2. Inputs and results'!C99</f>
        <v>0</v>
      </c>
      <c r="I6" s="4">
        <f>'2. Inputs and results'!C97</f>
        <v>-1200</v>
      </c>
      <c r="J6" s="4">
        <f>'2. Inputs and results'!C103</f>
        <v>0</v>
      </c>
      <c r="K6" s="4">
        <f>G6+I6+H6+J6</f>
        <v>57300</v>
      </c>
      <c r="L6" s="4">
        <f>'2. Inputs and results'!$C$75-('2. Inputs and results'!C79*'2. Inputs and results'!C75)</f>
        <v>595000</v>
      </c>
      <c r="M6" s="4">
        <f>IF(A6&lt;('2. Inputs and results'!$C$23+1),'2. Inputs and results'!$C$77*'2. Inputs and results'!$C$75," ")</f>
        <v>7000</v>
      </c>
      <c r="N6" s="4">
        <f>IF(A6&lt;('2. Inputs and results'!$C$23+1),M6/((1+$P$2)^A6)," ")</f>
        <v>6730.7692307692305</v>
      </c>
      <c r="O6" s="4">
        <f>L6</f>
        <v>595000</v>
      </c>
      <c r="P6" s="4">
        <f>IF(A6&lt;('2. Inputs and results'!$C$23+1),(G6+I6+H6+J6)/((1+$P$2)^A6)," ")</f>
        <v>55096.153846153844</v>
      </c>
      <c r="Q6" s="4">
        <f>P6</f>
        <v>55096.153846153844</v>
      </c>
      <c r="R6" s="4">
        <f>-L6+G6+I6+H6+J6+T6-$V$6</f>
        <v>-556600</v>
      </c>
      <c r="S6" s="4">
        <f>IF(A6&lt;('2. Inputs and results'!$C$23+1),'2. Inputs and results'!$C$81*(R5)," ")</f>
        <v>-11900</v>
      </c>
      <c r="T6" s="4">
        <f>IF(S6&lt;0,S6,0)</f>
        <v>-11900</v>
      </c>
      <c r="U6" s="4">
        <f>IF(A6&lt;('2. Inputs and results'!$C$23+1),U5+(T6+I6+G6+H6+J6-$V$6)/((1+$P$2)^A6),NA())</f>
        <v>-558076.92307692312</v>
      </c>
      <c r="V6" s="4">
        <f>'2. Inputs and results'!$C$77*'2. Inputs and results'!$C$75</f>
        <v>7000</v>
      </c>
      <c r="W6" s="4">
        <f>-L6+C6+Y6-$V$6</f>
        <v>-556600</v>
      </c>
      <c r="X6" s="4">
        <f>IF(A6&lt;('2. Inputs and results'!$C$23+1),'2. Inputs and results'!$C$81*(W5)," ")</f>
        <v>-11900</v>
      </c>
      <c r="Y6" s="4">
        <f>IF(X6&lt;0,X6,0)</f>
        <v>-11900</v>
      </c>
      <c r="Z6" s="4">
        <f>IF(A6&lt;('2. Inputs and results'!$C$23+1),Z5+((C6-$V$6+Y6)/((1+$P$2)^A6)),NA())</f>
        <v>-558076.92307692312</v>
      </c>
      <c r="AA6" s="4">
        <f>IF(A6&lt;('2. Inputs and results'!$C$23+1),AA5+G6+I6+H6+T6-$V$6," ")</f>
        <v>38400</v>
      </c>
      <c r="AB6" s="11">
        <f>IF(A6&lt;('2. Inputs and results'!$C$23+1),AA6/L6,NA())</f>
        <v>6.4537815126050418E-2</v>
      </c>
      <c r="AC6" s="12">
        <f>IF(A6&lt;('2. Inputs and results'!$C$23+1),AC5+C6+Y6-$V$6," ")</f>
        <v>38400</v>
      </c>
      <c r="AD6" s="11">
        <f>IF(A6&lt;('2. Inputs and results'!$C$23+1),AC6/L6,NA())</f>
        <v>6.4537815126050418E-2</v>
      </c>
      <c r="AE6">
        <f>IF(A6&lt;('2. Inputs and results'!$C$23+1),-'2. Inputs and results'!$C$124*A6," ")</f>
        <v>-102000</v>
      </c>
      <c r="AF6">
        <f>IF(A6&lt;('2. Inputs and results'!$C$23+1),AE6/1000,NA())</f>
        <v>-102</v>
      </c>
    </row>
    <row r="7" spans="1:32">
      <c r="A7">
        <f t="shared" ref="A7:A55" si="0">A6+1</f>
        <v>2</v>
      </c>
      <c r="B7">
        <f>IF(A7&lt;('2. Inputs and results'!$C$23+1),A7," ")</f>
        <v>2</v>
      </c>
      <c r="C7" s="4">
        <f>IF(A7&lt;('2. Inputs and results'!$C$23+1),'2. Inputs and results'!$C$101+'2. Inputs and results'!$C$103," ")</f>
        <v>57300</v>
      </c>
      <c r="D7" s="4">
        <f>IF(A7&lt;('2. Inputs and results'!$C$23+1),D6+C7,NA())</f>
        <v>114600</v>
      </c>
      <c r="E7" s="4">
        <f>IF(A7&lt;('2. Inputs and results'!$C$23+1),C7/((1+$P$2)^A7)," ")</f>
        <v>52977.071005917154</v>
      </c>
      <c r="F7" s="4">
        <f>IF(B7&lt;('2. Inputs and results'!$C$23+1),F6+E7," ")</f>
        <v>108073.224852071</v>
      </c>
      <c r="G7" s="4">
        <f>IF(A7&lt;('2. Inputs and results'!$C$23+1),G6*(1+'2. Inputs and results'!$C$48)," ")</f>
        <v>62010</v>
      </c>
      <c r="H7" s="4">
        <f>IF(A7&lt;('2. Inputs and results'!$C$23+1),H6*(1+'2. Inputs and results'!$C$60)," ")</f>
        <v>0</v>
      </c>
      <c r="I7" s="4">
        <f>IF(A7&lt;('2. Inputs and results'!$C$23+1),I6*(1+'2. Inputs and results'!$C$36)," ")</f>
        <v>-1272</v>
      </c>
      <c r="J7" s="4">
        <f>IF(A7&lt;('2. Inputs and results'!$C$23+1),J6*(1+'2. Inputs and results'!$C$70)," ")</f>
        <v>0</v>
      </c>
      <c r="K7" s="4">
        <f>IF(A7&lt;('2. Inputs and results'!$C$23+1),K6+(G7+I7+H7+J7),NA())</f>
        <v>118038</v>
      </c>
      <c r="L7" s="4">
        <f>IF(A7&lt;('2. Inputs and results'!$C$23+1),L6,NA())</f>
        <v>595000</v>
      </c>
      <c r="M7" s="4">
        <f>IF(A7&lt;('2. Inputs and results'!$C$23+1),'2. Inputs and results'!$C$77*'2. Inputs and results'!$C$75," ")</f>
        <v>7000</v>
      </c>
      <c r="N7" s="4">
        <f>IF(A7&lt;('2. Inputs and results'!$C$23+1),M7/((1+$P$2)^A7)," ")</f>
        <v>6471.8934911242595</v>
      </c>
      <c r="O7" s="4">
        <f>IF(A7&lt;('2. Inputs and results'!$C$23+1),'2. Inputs and results'!$C$75*'2. Inputs and results'!$C$77+O6," ")</f>
        <v>602000</v>
      </c>
      <c r="P7" s="4">
        <f>IF(A7&lt;('2. Inputs and results'!$C$23+1),(G7+I7+H7+J7)/((1+$P$2)^A7)," ")</f>
        <v>56155.695266272181</v>
      </c>
      <c r="Q7" s="4">
        <f>IF(A7&lt;('2. Inputs and results'!$C$23+1),Q6+P7," ")</f>
        <v>111251.84911242602</v>
      </c>
      <c r="R7" s="4">
        <f>IF(A7&lt;('2. Inputs and results'!$C$23+1),R6+G7+I7+H7+J7+T7-$V$6,NA())</f>
        <v>-513994</v>
      </c>
      <c r="S7" s="4">
        <f>IF(A7&lt;('2. Inputs and results'!$C$23+1),'2. Inputs and results'!$C$81*(R6)," ")</f>
        <v>-11132</v>
      </c>
      <c r="T7" s="4">
        <f t="shared" ref="T7:T55" si="1">IF(S7&lt;0,S7,0)</f>
        <v>-11132</v>
      </c>
      <c r="U7" s="4">
        <f>IF(A7&lt;('2. Inputs and results'!$C$23+1),U6+((G7+I7+H7+J7-$V$6+T7)/((1+$P$2)^A7)),NA())</f>
        <v>-518685.28106508881</v>
      </c>
      <c r="V7" s="4">
        <f>IF(A7&lt;('2. Inputs and results'!$C$23+1),V6+('2. Inputs and results'!$C$77*'2. Inputs and results'!$C$75)," ")</f>
        <v>14000</v>
      </c>
      <c r="W7" s="4">
        <f>IF(A7&lt;('2. Inputs and results'!$C$23+1),W6+C7+Y7-$V$6,NA())</f>
        <v>-517432</v>
      </c>
      <c r="X7" s="4">
        <f>IF(A7&lt;('2. Inputs and results'!$C$23+1),'2. Inputs and results'!$C$81*(W6)," ")</f>
        <v>-11132</v>
      </c>
      <c r="Y7" s="4">
        <f t="shared" ref="Y7:Y55" si="2">IF(X7&lt;0,X7,0)</f>
        <v>-11132</v>
      </c>
      <c r="Z7" s="4">
        <f>IF(A7&lt;('2. Inputs and results'!$C$23+1),Z6+((C7-$V$6+Y7)/((1+$P$2)^A7)),NA())</f>
        <v>-521863.90532544383</v>
      </c>
      <c r="AA7" s="4">
        <f>IF(A7&lt;('2. Inputs and results'!$C$23+1),AA6+G7+I7+H7+T7-$V$6," ")</f>
        <v>81006</v>
      </c>
      <c r="AB7" s="11">
        <f>IF(A7&lt;('2. Inputs and results'!$C$23+1),AA7/L7,NA())</f>
        <v>0.13614453781512606</v>
      </c>
      <c r="AC7" s="12">
        <f>IF(A7&lt;('2. Inputs and results'!$C$23+1),AC6+C7+Y7-$V$6," ")</f>
        <v>77568</v>
      </c>
      <c r="AD7" s="11">
        <f>IF(A7&lt;('2. Inputs and results'!$C$23+1),AC7/L7,NA())</f>
        <v>0.13036638655462185</v>
      </c>
      <c r="AE7">
        <f>IF(A7&lt;('2. Inputs and results'!$C$23+1),-'2. Inputs and results'!$C$124*A7," ")</f>
        <v>-204000</v>
      </c>
      <c r="AF7">
        <f>IF(A7&lt;('2. Inputs and results'!$C$23+1),AE7/1000,NA())</f>
        <v>-204</v>
      </c>
    </row>
    <row r="8" spans="1:32">
      <c r="A8">
        <f t="shared" si="0"/>
        <v>3</v>
      </c>
      <c r="B8">
        <f>IF(A8&lt;('2. Inputs and results'!$C$23+1),A8," ")</f>
        <v>3</v>
      </c>
      <c r="C8" s="4">
        <f>IF(A8&lt;('2. Inputs and results'!$C$23+1),'2. Inputs and results'!$C$101+'2. Inputs and results'!$C$103," ")</f>
        <v>57300</v>
      </c>
      <c r="D8" s="4">
        <f>IF(A8&lt;('2. Inputs and results'!$C$23+1),D7+C8,NA())</f>
        <v>171900</v>
      </c>
      <c r="E8" s="4">
        <f>IF(A8&lt;('2. Inputs and results'!$C$23+1),C8/((1+$P$2)^A8)," ")</f>
        <v>50939.491351843419</v>
      </c>
      <c r="F8" s="4">
        <f>IF(B8&lt;('2. Inputs and results'!$C$23+1),F7+E8," ")</f>
        <v>159012.71620391443</v>
      </c>
      <c r="G8" s="4">
        <f>IF(A8&lt;('2. Inputs and results'!$C$23+1),G7*(1+'2. Inputs and results'!$C$48)," ")</f>
        <v>65730.600000000006</v>
      </c>
      <c r="H8" s="4">
        <f>IF(A8&lt;('2. Inputs and results'!$C$23+1),H7*(1+'2. Inputs and results'!$C$60)," ")</f>
        <v>0</v>
      </c>
      <c r="I8" s="4">
        <f>IF(A8&lt;('2. Inputs and results'!$C$23+1),I7*(1+'2. Inputs and results'!$C$36)," ")</f>
        <v>-1348.3200000000002</v>
      </c>
      <c r="J8" s="4">
        <f>IF(A8&lt;('2. Inputs and results'!$C$23+1),J7*(1+'2. Inputs and results'!$C$70)," ")</f>
        <v>0</v>
      </c>
      <c r="K8" s="4">
        <f>IF(A8&lt;('2. Inputs and results'!$C$23+1),K7+(G8+I8+H8+J8),NA())</f>
        <v>182420.28</v>
      </c>
      <c r="L8" s="4">
        <f>IF(A8&lt;('2. Inputs and results'!$C$23+1),L7,NA())</f>
        <v>595000</v>
      </c>
      <c r="M8" s="4">
        <f>IF(A8&lt;('2. Inputs and results'!$C$23+1),'2. Inputs and results'!$C$77*'2. Inputs and results'!$C$75," ")</f>
        <v>7000</v>
      </c>
      <c r="N8" s="4">
        <f>IF(A8&lt;('2. Inputs and results'!$C$23+1),M8/((1+$P$2)^A8)," ")</f>
        <v>6222.9745106964037</v>
      </c>
      <c r="O8" s="4">
        <f>IF(A8&lt;('2. Inputs and results'!$C$23+1),'2. Inputs and results'!$C$75*'2. Inputs and results'!$C$77+O7," ")</f>
        <v>609000</v>
      </c>
      <c r="P8" s="4">
        <f>IF(A8&lt;('2. Inputs and results'!$C$23+1),(G8+I8+H8+J8)/((1+$P$2)^A8)," ")</f>
        <v>57235.612482931268</v>
      </c>
      <c r="Q8" s="4">
        <f>IF(A8&lt;('2. Inputs and results'!$C$23+1),Q7+P8," ")</f>
        <v>168487.46159535728</v>
      </c>
      <c r="R8" s="4">
        <f>IF(A8&lt;('2. Inputs and results'!$C$23+1),R7+G8+I8+H8+J8+T8-$V$6,NA())</f>
        <v>-466891.60000000003</v>
      </c>
      <c r="S8" s="4">
        <f>IF(A8&lt;('2. Inputs and results'!$C$23+1),'2. Inputs and results'!$C$81*(R7)," ")</f>
        <v>-10279.880000000001</v>
      </c>
      <c r="T8" s="4">
        <f t="shared" si="1"/>
        <v>-10279.880000000001</v>
      </c>
      <c r="U8" s="4">
        <f>IF(A8&lt;('2. Inputs and results'!$C$23+1),U7+((G8+I8+H8+J8-$V$6+T8)/((1+$P$2)^A8)),NA())</f>
        <v>-476811.4189804279</v>
      </c>
      <c r="V8" s="4">
        <f>IF(A8&lt;('2. Inputs and results'!$C$23+1),V7+('2. Inputs and results'!$C$77*'2. Inputs and results'!$C$75)," ")</f>
        <v>21000</v>
      </c>
      <c r="W8" s="4">
        <f>IF(A8&lt;('2. Inputs and results'!$C$23+1),W7+C8+Y8-$V$6,NA())</f>
        <v>-477480.64</v>
      </c>
      <c r="X8" s="4">
        <f>IF(A8&lt;('2. Inputs and results'!$C$23+1),'2. Inputs and results'!$C$81*(W7)," ")</f>
        <v>-10348.64</v>
      </c>
      <c r="Y8" s="4">
        <f t="shared" si="2"/>
        <v>-10348.64</v>
      </c>
      <c r="Z8" s="4">
        <f>IF(A8&lt;('2. Inputs and results'!$C$23+1),Z7+((C8-$V$6+Y8)/((1+$P$2)^A8)),NA())</f>
        <v>-486347.29176149296</v>
      </c>
      <c r="AA8" s="4">
        <f>IF(A8&lt;('2. Inputs and results'!$C$23+1),AA7+G8+I8+H8+T8-$V$6," ")</f>
        <v>128108.4</v>
      </c>
      <c r="AB8" s="11">
        <f>IF(A8&lt;('2. Inputs and results'!$C$23+1),AA8/L8,NA())</f>
        <v>0.21530823529411763</v>
      </c>
      <c r="AC8" s="12">
        <f>IF(A8&lt;('2. Inputs and results'!$C$23+1),AC7+C8+Y8-$V$6," ")</f>
        <v>117519.36</v>
      </c>
      <c r="AD8" s="11">
        <f>IF(A8&lt;('2. Inputs and results'!$C$23+1),AC8/L8,NA())</f>
        <v>0.1975115294117647</v>
      </c>
      <c r="AE8">
        <f>IF(A8&lt;('2. Inputs and results'!$C$23+1),-'2. Inputs and results'!$C$124*A8," ")</f>
        <v>-306000</v>
      </c>
      <c r="AF8">
        <f>IF(A8&lt;('2. Inputs and results'!$C$23+1),AE8/1000,NA())</f>
        <v>-306</v>
      </c>
    </row>
    <row r="9" spans="1:32">
      <c r="A9">
        <f t="shared" si="0"/>
        <v>4</v>
      </c>
      <c r="B9">
        <f>IF(A9&lt;('2. Inputs and results'!$C$23+1),A9," ")</f>
        <v>4</v>
      </c>
      <c r="C9" s="4">
        <f>IF(A9&lt;('2. Inputs and results'!$C$23+1),'2. Inputs and results'!$C$101+'2. Inputs and results'!$C$103," ")</f>
        <v>57300</v>
      </c>
      <c r="D9" s="4">
        <f>IF(A9&lt;('2. Inputs and results'!$C$23+1),D8+C9,NA())</f>
        <v>229200</v>
      </c>
      <c r="E9" s="4">
        <f>IF(A9&lt;('2. Inputs and results'!$C$23+1),C9/((1+$P$2)^A9)," ")</f>
        <v>48980.280146003279</v>
      </c>
      <c r="F9" s="4">
        <f>IF(B9&lt;('2. Inputs and results'!$C$23+1),F8+E9," ")</f>
        <v>207992.99634991772</v>
      </c>
      <c r="G9" s="4">
        <f>IF(A9&lt;('2. Inputs and results'!$C$23+1),G8*(1+'2. Inputs and results'!$C$48)," ")</f>
        <v>69674.436000000016</v>
      </c>
      <c r="H9" s="4">
        <f>IF(A9&lt;('2. Inputs and results'!$C$23+1),H8*(1+'2. Inputs and results'!$C$60)," ")</f>
        <v>0</v>
      </c>
      <c r="I9" s="4">
        <f>IF(A9&lt;('2. Inputs and results'!$C$23+1),I8*(1+'2. Inputs and results'!$C$36)," ")</f>
        <v>-1429.2192000000002</v>
      </c>
      <c r="J9" s="4">
        <f>IF(A9&lt;('2. Inputs and results'!$C$23+1),J8*(1+'2. Inputs and results'!$C$70)," ")</f>
        <v>0</v>
      </c>
      <c r="K9" s="4">
        <f>IF(A9&lt;('2. Inputs and results'!$C$23+1),K8+(G9+I9+H9+J9),NA())</f>
        <v>250665.49680000002</v>
      </c>
      <c r="L9" s="4">
        <f>IF(A9&lt;('2. Inputs and results'!$C$23+1),L8,NA())</f>
        <v>595000</v>
      </c>
      <c r="M9" s="4">
        <f>IF(A9&lt;('2. Inputs and results'!$C$23+1),'2. Inputs and results'!$C$77*'2. Inputs and results'!$C$75," ")</f>
        <v>7000</v>
      </c>
      <c r="N9" s="4">
        <f>IF(A9&lt;('2. Inputs and results'!$C$23+1),M9/((1+$P$2)^A9)," ")</f>
        <v>5983.62933720808</v>
      </c>
      <c r="O9" s="4">
        <f>IF(A9&lt;('2. Inputs and results'!$C$23+1),'2. Inputs and results'!$C$75*'2. Inputs and results'!$C$77+O8," ")</f>
        <v>616000</v>
      </c>
      <c r="P9" s="4">
        <f>IF(A9&lt;('2. Inputs and results'!$C$23+1),(G9+I9+H9+J9)/((1+$P$2)^A9)," ")</f>
        <v>58336.297338372256</v>
      </c>
      <c r="Q9" s="4">
        <f>IF(A9&lt;('2. Inputs and results'!$C$23+1),Q8+P9," ")</f>
        <v>226823.75893372955</v>
      </c>
      <c r="R9" s="4">
        <f>IF(A9&lt;('2. Inputs and results'!$C$23+1),R8+G9+I9+H9+J9+T9-$V$6,NA())</f>
        <v>-414984.21519999998</v>
      </c>
      <c r="S9" s="4">
        <f>IF(A9&lt;('2. Inputs and results'!$C$23+1),'2. Inputs and results'!$C$81*(R8)," ")</f>
        <v>-9337.8320000000003</v>
      </c>
      <c r="T9" s="4">
        <f t="shared" si="1"/>
        <v>-9337.8320000000003</v>
      </c>
      <c r="U9" s="4">
        <f>IF(A9&lt;('2. Inputs and results'!$C$23+1),U8+((G9+I9+H9+J9-$V$6+T9)/((1+$P$2)^A9)),NA())</f>
        <v>-432440.7689079952</v>
      </c>
      <c r="V9" s="4">
        <f>IF(A9&lt;('2. Inputs and results'!$C$23+1),V8+('2. Inputs and results'!$C$77*'2. Inputs and results'!$C$75)," ")</f>
        <v>28000</v>
      </c>
      <c r="W9" s="4">
        <f>IF(A9&lt;('2. Inputs and results'!$C$23+1),W8+C9+Y9-$V$6,NA())</f>
        <v>-436730.25280000002</v>
      </c>
      <c r="X9" s="4">
        <f>IF(A9&lt;('2. Inputs and results'!$C$23+1),'2. Inputs and results'!$C$81*(W8)," ")</f>
        <v>-9549.6128000000008</v>
      </c>
      <c r="Y9" s="4">
        <f t="shared" si="2"/>
        <v>-9549.6128000000008</v>
      </c>
      <c r="Z9" s="4">
        <f>IF(A9&lt;('2. Inputs and results'!$C$23+1),Z8+((C9-$V$6+Y9)/((1+$P$2)^A9)),NA())</f>
        <v>-451513.68999684887</v>
      </c>
      <c r="AA9" s="4">
        <f>IF(A9&lt;('2. Inputs and results'!$C$23+1),AA8+G9+I9+H9+T9-$V$6," ")</f>
        <v>180015.78480000002</v>
      </c>
      <c r="AB9" s="11">
        <f>IF(A9&lt;('2. Inputs and results'!$C$23+1),AA9/L9,NA())</f>
        <v>0.30254753747899166</v>
      </c>
      <c r="AC9" s="12">
        <f>IF(A9&lt;('2. Inputs and results'!$C$23+1),AC8+C9+Y9-$V$6," ")</f>
        <v>158269.74719999998</v>
      </c>
      <c r="AD9" s="11">
        <f>IF(A9&lt;('2. Inputs and results'!$C$23+1),AC9/L9,NA())</f>
        <v>0.26599957512605038</v>
      </c>
      <c r="AE9">
        <f>IF(A9&lt;('2. Inputs and results'!$C$23+1),-'2. Inputs and results'!$C$124*A9," ")</f>
        <v>-408000</v>
      </c>
      <c r="AF9">
        <f>IF(A9&lt;('2. Inputs and results'!$C$23+1),AE9/1000,NA())</f>
        <v>-408</v>
      </c>
    </row>
    <row r="10" spans="1:32">
      <c r="A10">
        <f t="shared" si="0"/>
        <v>5</v>
      </c>
      <c r="B10">
        <f>IF(A10&lt;('2. Inputs and results'!$C$23+1),A10," ")</f>
        <v>5</v>
      </c>
      <c r="C10" s="4">
        <f>IF(A10&lt;('2. Inputs and results'!$C$23+1),'2. Inputs and results'!$C$101+'2. Inputs and results'!$C$103," ")</f>
        <v>57300</v>
      </c>
      <c r="D10" s="4">
        <f>IF(A10&lt;('2. Inputs and results'!$C$23+1),D9+C10,NA())</f>
        <v>286500</v>
      </c>
      <c r="E10" s="4">
        <f>IF(A10&lt;('2. Inputs and results'!$C$23+1),C10/((1+$P$2)^A10)," ")</f>
        <v>47096.423217310847</v>
      </c>
      <c r="F10" s="4">
        <f>IF(B10&lt;('2. Inputs and results'!$C$23+1),F9+E10," ")</f>
        <v>255089.41956722859</v>
      </c>
      <c r="G10" s="4">
        <f>IF(A10&lt;('2. Inputs and results'!$C$23+1),G9*(1+'2. Inputs and results'!$C$48)," ")</f>
        <v>73854.902160000027</v>
      </c>
      <c r="H10" s="4">
        <f>IF(A10&lt;('2. Inputs and results'!$C$23+1),H9*(1+'2. Inputs and results'!$C$60)," ")</f>
        <v>0</v>
      </c>
      <c r="I10" s="4">
        <f>IF(A10&lt;('2. Inputs and results'!$C$23+1),I9*(1+'2. Inputs and results'!$C$36)," ")</f>
        <v>-1514.9723520000002</v>
      </c>
      <c r="J10" s="4">
        <f>IF(A10&lt;('2. Inputs and results'!$C$23+1),J9*(1+'2. Inputs and results'!$C$70)," ")</f>
        <v>0</v>
      </c>
      <c r="K10" s="4">
        <f>IF(A10&lt;('2. Inputs and results'!$C$23+1),K9+(G10+I10+H10+J10),NA())</f>
        <v>323005.42660800007</v>
      </c>
      <c r="L10" s="4">
        <f>IF(A10&lt;('2. Inputs and results'!$C$23+1),L9,NA())</f>
        <v>595000</v>
      </c>
      <c r="M10" s="4">
        <f>IF(A10&lt;('2. Inputs and results'!$C$23+1),'2. Inputs and results'!$C$77*'2. Inputs and results'!$C$75," ")</f>
        <v>7000</v>
      </c>
      <c r="N10" s="4">
        <f>IF(A10&lt;('2. Inputs and results'!$C$23+1),M10/((1+$P$2)^A10)," ")</f>
        <v>5753.4897473154606</v>
      </c>
      <c r="O10" s="4">
        <f>IF(A10&lt;('2. Inputs and results'!$C$23+1),'2. Inputs and results'!$C$75*'2. Inputs and results'!$C$77+O9," ")</f>
        <v>623000</v>
      </c>
      <c r="P10" s="4">
        <f>IF(A10&lt;('2. Inputs and results'!$C$23+1),(G10+I10+H10+J10)/((1+$P$2)^A10)," ")</f>
        <v>59458.14921026404</v>
      </c>
      <c r="Q10" s="4">
        <f>IF(A10&lt;('2. Inputs and results'!$C$23+1),Q9+P10," ")</f>
        <v>286281.90814399358</v>
      </c>
      <c r="R10" s="4">
        <f>IF(A10&lt;('2. Inputs and results'!$C$23+1),R9+G10+I10+H10+J10+T10-$V$6,NA())</f>
        <v>-357943.96969599993</v>
      </c>
      <c r="S10" s="4">
        <f>IF(A10&lt;('2. Inputs and results'!$C$23+1),'2. Inputs and results'!$C$81*(R9)," ")</f>
        <v>-8299.6843040000003</v>
      </c>
      <c r="T10" s="4">
        <f t="shared" si="1"/>
        <v>-8299.6843040000003</v>
      </c>
      <c r="U10" s="4">
        <f>IF(A10&lt;('2. Inputs and results'!$C$23+1),U9+((G10+I10+H10+J10-$V$6+T10)/((1+$P$2)^A10)),NA())</f>
        <v>-385557.84495204932</v>
      </c>
      <c r="V10" s="4">
        <f>IF(A10&lt;('2. Inputs and results'!$C$23+1),V9+('2. Inputs and results'!$C$77*'2. Inputs and results'!$C$75)," ")</f>
        <v>35000</v>
      </c>
      <c r="W10" s="4">
        <f>IF(A10&lt;('2. Inputs and results'!$C$23+1),W9+C10+Y10-$V$6,NA())</f>
        <v>-395164.85785600002</v>
      </c>
      <c r="X10" s="4">
        <f>IF(A10&lt;('2. Inputs and results'!$C$23+1),'2. Inputs and results'!$C$81*(W9)," ")</f>
        <v>-8734.6050560000003</v>
      </c>
      <c r="Y10" s="4">
        <f t="shared" si="2"/>
        <v>-8734.6050560000003</v>
      </c>
      <c r="Z10" s="4">
        <f>IF(A10&lt;('2. Inputs and results'!$C$23+1),Z9+((C10-$V$6+Y10)/((1+$P$2)^A10)),NA())</f>
        <v>-417349.96518921718</v>
      </c>
      <c r="AA10" s="4">
        <f>IF(A10&lt;('2. Inputs and results'!$C$23+1),AA9+G10+I10+H10+T10-$V$6," ")</f>
        <v>237056.03030400004</v>
      </c>
      <c r="AB10" s="11">
        <f>IF(A10&lt;('2. Inputs and results'!$C$23+1),AA10/L10,NA())</f>
        <v>0.39841349630924378</v>
      </c>
      <c r="AC10" s="12">
        <f>IF(A10&lt;('2. Inputs and results'!$C$23+1),AC9+C10+Y10-$V$6," ")</f>
        <v>199835.14214399998</v>
      </c>
      <c r="AD10" s="11">
        <f>IF(A10&lt;('2. Inputs and results'!$C$23+1),AC10/L10,NA())</f>
        <v>0.33585738175462182</v>
      </c>
      <c r="AE10">
        <f>IF(A10&lt;('2. Inputs and results'!$C$23+1),-'2. Inputs and results'!$C$124*A10," ")</f>
        <v>-510000</v>
      </c>
      <c r="AF10">
        <f>IF(A10&lt;('2. Inputs and results'!$C$23+1),AE10/1000,NA())</f>
        <v>-510</v>
      </c>
    </row>
    <row r="11" spans="1:32">
      <c r="A11">
        <f t="shared" si="0"/>
        <v>6</v>
      </c>
      <c r="B11">
        <f>IF(A11&lt;('2. Inputs and results'!$C$23+1),A11," ")</f>
        <v>6</v>
      </c>
      <c r="C11" s="4">
        <f>IF(A11&lt;('2. Inputs and results'!$C$23+1),'2. Inputs and results'!$C$101+'2. Inputs and results'!$C$103," ")</f>
        <v>57300</v>
      </c>
      <c r="D11" s="4">
        <f>IF(A11&lt;('2. Inputs and results'!$C$23+1),D10+C11,NA())</f>
        <v>343800</v>
      </c>
      <c r="E11" s="4">
        <f>IF(A11&lt;('2. Inputs and results'!$C$23+1),C11/((1+$P$2)^A11)," ")</f>
        <v>45285.022324337348</v>
      </c>
      <c r="F11" s="4">
        <f>IF(B11&lt;('2. Inputs and results'!$C$23+1),F10+E11," ")</f>
        <v>300374.44189156592</v>
      </c>
      <c r="G11" s="4">
        <f>IF(A11&lt;('2. Inputs and results'!$C$23+1),G10*(1+'2. Inputs and results'!$C$48)," ")</f>
        <v>78286.196289600033</v>
      </c>
      <c r="H11" s="4">
        <f>IF(A11&lt;('2. Inputs and results'!$C$23+1),H10*(1+'2. Inputs and results'!$C$60)," ")</f>
        <v>0</v>
      </c>
      <c r="I11" s="4">
        <f>IF(A11&lt;('2. Inputs and results'!$C$23+1),I10*(1+'2. Inputs and results'!$C$36)," ")</f>
        <v>-1605.8706931200004</v>
      </c>
      <c r="J11" s="4">
        <f>IF(A11&lt;('2. Inputs and results'!$C$23+1),J10*(1+'2. Inputs and results'!$C$70)," ")</f>
        <v>0</v>
      </c>
      <c r="K11" s="4">
        <f>IF(A11&lt;('2. Inputs and results'!$C$23+1),K10+(G11+I11+H11+J11),NA())</f>
        <v>399685.75220448012</v>
      </c>
      <c r="L11" s="4">
        <f>IF(A11&lt;('2. Inputs and results'!$C$23+1),L10,NA())</f>
        <v>595000</v>
      </c>
      <c r="M11" s="4">
        <f>IF(A11&lt;('2. Inputs and results'!$C$23+1),'2. Inputs and results'!$C$77*'2. Inputs and results'!$C$75," ")</f>
        <v>7000</v>
      </c>
      <c r="N11" s="4">
        <f>IF(A11&lt;('2. Inputs and results'!$C$23+1),M11/((1+$P$2)^A11)," ")</f>
        <v>5532.2016801110203</v>
      </c>
      <c r="O11" s="4">
        <f>IF(A11&lt;('2. Inputs and results'!$C$23+1),'2. Inputs and results'!$C$75*'2. Inputs and results'!$C$77+O10," ")</f>
        <v>630000</v>
      </c>
      <c r="P11" s="4">
        <f>IF(A11&lt;('2. Inputs and results'!$C$23+1),(G11+I11+H11+J11)/((1+$P$2)^A11)," ")</f>
        <v>60601.575156615268</v>
      </c>
      <c r="Q11" s="4">
        <f>IF(A11&lt;('2. Inputs and results'!$C$23+1),Q10+P11," ")</f>
        <v>346883.48330060887</v>
      </c>
      <c r="R11" s="4">
        <f>IF(A11&lt;('2. Inputs and results'!$C$23+1),R10+G11+I11+H11+J11+T11-$V$6,NA())</f>
        <v>-295422.52349343989</v>
      </c>
      <c r="S11" s="4">
        <f>IF(A11&lt;('2. Inputs and results'!$C$23+1),'2. Inputs and results'!$C$81*(R10)," ")</f>
        <v>-7158.8793939199986</v>
      </c>
      <c r="T11" s="4">
        <f t="shared" si="1"/>
        <v>-7158.8793939199986</v>
      </c>
      <c r="U11" s="4">
        <f>IF(A11&lt;('2. Inputs and results'!$C$23+1),U10+((G11+I11+H11+J11-$V$6+T11)/((1+$P$2)^A11)),NA())</f>
        <v>-336146.23784851027</v>
      </c>
      <c r="V11" s="4">
        <f>IF(A11&lt;('2. Inputs and results'!$C$23+1),V10+('2. Inputs and results'!$C$77*'2. Inputs and results'!$C$75)," ")</f>
        <v>42000</v>
      </c>
      <c r="W11" s="4">
        <f>IF(A11&lt;('2. Inputs and results'!$C$23+1),W10+C11+Y11-$V$6,NA())</f>
        <v>-352768.15501312003</v>
      </c>
      <c r="X11" s="4">
        <f>IF(A11&lt;('2. Inputs and results'!$C$23+1),'2. Inputs and results'!$C$81*(W10)," ")</f>
        <v>-7903.2971571200005</v>
      </c>
      <c r="Y11" s="4">
        <f t="shared" si="2"/>
        <v>-7903.2971571200005</v>
      </c>
      <c r="Z11" s="4">
        <f>IF(A11&lt;('2. Inputs and results'!$C$23+1),Z10+((C11-$V$6+Y11)/((1+$P$2)^A11)),NA())</f>
        <v>-383843.23508942453</v>
      </c>
      <c r="AA11" s="4">
        <f>IF(A11&lt;('2. Inputs and results'!$C$23+1),AA10+G11+I11+H11+T11-$V$6," ")</f>
        <v>299577.47650656005</v>
      </c>
      <c r="AB11" s="11">
        <f>IF(A11&lt;('2. Inputs and results'!$C$23+1),AA11/L11,NA())</f>
        <v>0.50349155715388239</v>
      </c>
      <c r="AC11" s="12">
        <f>IF(A11&lt;('2. Inputs and results'!$C$23+1),AC10+C11+Y11-$V$6," ")</f>
        <v>242231.84498687999</v>
      </c>
      <c r="AD11" s="11">
        <f>IF(A11&lt;('2. Inputs and results'!$C$23+1),AC11/L11,NA())</f>
        <v>0.40711234451576472</v>
      </c>
      <c r="AE11">
        <f>IF(A11&lt;('2. Inputs and results'!$C$23+1),-'2. Inputs and results'!$C$124*A11," ")</f>
        <v>-612000</v>
      </c>
      <c r="AF11">
        <f>IF(A11&lt;('2. Inputs and results'!$C$23+1),AE11/1000,NA())</f>
        <v>-612</v>
      </c>
    </row>
    <row r="12" spans="1:32">
      <c r="A12">
        <f t="shared" si="0"/>
        <v>7</v>
      </c>
      <c r="B12">
        <f>IF(A12&lt;('2. Inputs and results'!$C$23+1),A12," ")</f>
        <v>7</v>
      </c>
      <c r="C12" s="4">
        <f>IF(A12&lt;('2. Inputs and results'!$C$23+1),'2. Inputs and results'!$C$101+'2. Inputs and results'!$C$103," ")</f>
        <v>57300</v>
      </c>
      <c r="D12" s="4">
        <f>IF(A12&lt;('2. Inputs and results'!$C$23+1),D11+C12,NA())</f>
        <v>401100</v>
      </c>
      <c r="E12" s="4">
        <f>IF(A12&lt;('2. Inputs and results'!$C$23+1),C12/((1+$P$2)^A12)," ")</f>
        <v>43543.290696478223</v>
      </c>
      <c r="F12" s="4">
        <f>IF(B12&lt;('2. Inputs and results'!$C$23+1),F11+E12," ")</f>
        <v>343917.73258804413</v>
      </c>
      <c r="G12" s="4">
        <f>IF(A12&lt;('2. Inputs and results'!$C$23+1),G11*(1+'2. Inputs and results'!$C$48)," ")</f>
        <v>82983.368066976036</v>
      </c>
      <c r="H12" s="4">
        <f>IF(A12&lt;('2. Inputs and results'!$C$23+1),H11*(1+'2. Inputs and results'!$C$60)," ")</f>
        <v>0</v>
      </c>
      <c r="I12" s="4">
        <f>IF(A12&lt;('2. Inputs and results'!$C$23+1),I11*(1+'2. Inputs and results'!$C$36)," ")</f>
        <v>-1702.2229347072005</v>
      </c>
      <c r="J12" s="4">
        <f>IF(A12&lt;('2. Inputs and results'!$C$23+1),J11*(1+'2. Inputs and results'!$C$70)," ")</f>
        <v>0</v>
      </c>
      <c r="K12" s="4">
        <f>IF(A12&lt;('2. Inputs and results'!$C$23+1),K11+(G12+I12+H12+J12),NA())</f>
        <v>480966.89733674895</v>
      </c>
      <c r="L12" s="4">
        <f>IF(A12&lt;('2. Inputs and results'!$C$23+1),L11,NA())</f>
        <v>595000</v>
      </c>
      <c r="M12" s="4">
        <f>IF(A12&lt;('2. Inputs and results'!$C$23+1),'2. Inputs and results'!$C$77*'2. Inputs and results'!$C$75," ")</f>
        <v>7000</v>
      </c>
      <c r="N12" s="4">
        <f>IF(A12&lt;('2. Inputs and results'!$C$23+1),M12/((1+$P$2)^A12)," ")</f>
        <v>5319.4246924144427</v>
      </c>
      <c r="O12" s="4">
        <f>IF(A12&lt;('2. Inputs and results'!$C$23+1),'2. Inputs and results'!$C$75*'2. Inputs and results'!$C$77+O11," ")</f>
        <v>637000</v>
      </c>
      <c r="P12" s="4">
        <f>IF(A12&lt;('2. Inputs and results'!$C$23+1),(G12+I12+H12+J12)/((1+$P$2)^A12)," ")</f>
        <v>61766.990063473262</v>
      </c>
      <c r="Q12" s="4">
        <f>IF(A12&lt;('2. Inputs and results'!$C$23+1),Q11+P12," ")</f>
        <v>408650.47336408217</v>
      </c>
      <c r="R12" s="4">
        <f>IF(A12&lt;('2. Inputs and results'!$C$23+1),R11+G12+I12+H12+J12+T12-$V$6,NA())</f>
        <v>-227049.82883103989</v>
      </c>
      <c r="S12" s="4">
        <f>IF(A12&lt;('2. Inputs and results'!$C$23+1),'2. Inputs and results'!$C$81*(R11)," ")</f>
        <v>-5908.4504698687979</v>
      </c>
      <c r="T12" s="4">
        <f t="shared" si="1"/>
        <v>-5908.4504698687979</v>
      </c>
      <c r="U12" s="4">
        <f>IF(A12&lt;('2. Inputs and results'!$C$23+1),U11+((G12+I12+H12+J12-$V$6+T12)/((1+$P$2)^A12)),NA())</f>
        <v>-284188.60923792684</v>
      </c>
      <c r="V12" s="4">
        <f>IF(A12&lt;('2. Inputs and results'!$C$23+1),V11+('2. Inputs and results'!$C$77*'2. Inputs and results'!$C$75)," ")</f>
        <v>49000</v>
      </c>
      <c r="W12" s="4">
        <f>IF(A12&lt;('2. Inputs and results'!$C$23+1),W11+C12+Y12-$V$6,NA())</f>
        <v>-309523.51811338245</v>
      </c>
      <c r="X12" s="4">
        <f>IF(A12&lt;('2. Inputs and results'!$C$23+1),'2. Inputs and results'!$C$81*(W11)," ")</f>
        <v>-7055.3631002624006</v>
      </c>
      <c r="Y12" s="4">
        <f t="shared" si="2"/>
        <v>-7055.3631002624006</v>
      </c>
      <c r="Z12" s="4">
        <f>IF(A12&lt;('2. Inputs and results'!$C$23+1),Z11+((C12-$V$6+Y12)/((1+$P$2)^A12)),NA())</f>
        <v>-350980.86518385867</v>
      </c>
      <c r="AA12" s="4">
        <f>IF(A12&lt;('2. Inputs and results'!$C$23+1),AA11+G12+I12+H12+T12-$V$6," ")</f>
        <v>367950.17116896011</v>
      </c>
      <c r="AB12" s="11">
        <f>IF(A12&lt;('2. Inputs and results'!$C$23+1),AA12/L12,NA())</f>
        <v>0.61840364902346234</v>
      </c>
      <c r="AC12" s="12">
        <f>IF(A12&lt;('2. Inputs and results'!$C$23+1),AC11+C12+Y12-$V$6," ")</f>
        <v>285476.48188661755</v>
      </c>
      <c r="AD12" s="11">
        <f>IF(A12&lt;('2. Inputs and results'!$C$23+1),AC12/L12,NA())</f>
        <v>0.47979240653213034</v>
      </c>
      <c r="AE12">
        <f>IF(A12&lt;('2. Inputs and results'!$C$23+1),-'2. Inputs and results'!$C$124*A12," ")</f>
        <v>-714000</v>
      </c>
      <c r="AF12">
        <f>IF(A12&lt;('2. Inputs and results'!$C$23+1),AE12/1000,NA())</f>
        <v>-714</v>
      </c>
    </row>
    <row r="13" spans="1:32">
      <c r="A13">
        <f t="shared" si="0"/>
        <v>8</v>
      </c>
      <c r="B13">
        <f>IF(A13&lt;('2. Inputs and results'!$C$23+1),A13," ")</f>
        <v>8</v>
      </c>
      <c r="C13" s="4">
        <f>IF(A13&lt;('2. Inputs and results'!$C$23+1),'2. Inputs and results'!$C$101+'2. Inputs and results'!$C$103," ")</f>
        <v>57300</v>
      </c>
      <c r="D13" s="4">
        <f>IF(A13&lt;('2. Inputs and results'!$C$23+1),D12+C13,NA())</f>
        <v>458400</v>
      </c>
      <c r="E13" s="4">
        <f>IF(A13&lt;('2. Inputs and results'!$C$23+1),C13/((1+$P$2)^A13)," ")</f>
        <v>41868.548746613669</v>
      </c>
      <c r="F13" s="4">
        <f>IF(B13&lt;('2. Inputs and results'!$C$23+1),F12+E13," ")</f>
        <v>385786.2813346578</v>
      </c>
      <c r="G13" s="4">
        <f>IF(A13&lt;('2. Inputs and results'!$C$23+1),G12*(1+'2. Inputs and results'!$C$48)," ")</f>
        <v>87962.370150994597</v>
      </c>
      <c r="H13" s="4">
        <f>IF(A13&lt;('2. Inputs and results'!$C$23+1),H12*(1+'2. Inputs and results'!$C$60)," ")</f>
        <v>0</v>
      </c>
      <c r="I13" s="4">
        <f>IF(A13&lt;('2. Inputs and results'!$C$23+1),I12*(1+'2. Inputs and results'!$C$36)," ")</f>
        <v>-1804.3563107896325</v>
      </c>
      <c r="J13" s="4">
        <f>IF(A13&lt;('2. Inputs and results'!$C$23+1),J12*(1+'2. Inputs and results'!$C$70)," ")</f>
        <v>0</v>
      </c>
      <c r="K13" s="4">
        <f>IF(A13&lt;('2. Inputs and results'!$C$23+1),K12+(G13+I13+H13+J13),NA())</f>
        <v>567124.91117695393</v>
      </c>
      <c r="L13" s="4">
        <f>IF(A13&lt;('2. Inputs and results'!$C$23+1),L12,NA())</f>
        <v>595000</v>
      </c>
      <c r="M13" s="4">
        <f>IF(A13&lt;('2. Inputs and results'!$C$23+1),'2. Inputs and results'!$C$77*'2. Inputs and results'!$C$75," ")</f>
        <v>7000</v>
      </c>
      <c r="N13" s="4">
        <f>IF(A13&lt;('2. Inputs and results'!$C$23+1),M13/((1+$P$2)^A13)," ")</f>
        <v>5114.8314350138862</v>
      </c>
      <c r="O13" s="4">
        <f>IF(A13&lt;('2. Inputs and results'!$C$23+1),'2. Inputs and results'!$C$75*'2. Inputs and results'!$C$77+O12," ")</f>
        <v>644000</v>
      </c>
      <c r="P13" s="4">
        <f>IF(A13&lt;('2. Inputs and results'!$C$23+1),(G13+I13+H13+J13)/((1+$P$2)^A13)," ")</f>
        <v>62954.816795463121</v>
      </c>
      <c r="Q13" s="4">
        <f>IF(A13&lt;('2. Inputs and results'!$C$23+1),Q12+P13," ")</f>
        <v>471605.29015954526</v>
      </c>
      <c r="R13" s="4">
        <f>IF(A13&lt;('2. Inputs and results'!$C$23+1),R12+G13+I13+H13+J13+T13-$V$6,NA())</f>
        <v>-152432.8115674557</v>
      </c>
      <c r="S13" s="4">
        <f>IF(A13&lt;('2. Inputs and results'!$C$23+1),'2. Inputs and results'!$C$81*(R12)," ")</f>
        <v>-4540.9965766207979</v>
      </c>
      <c r="T13" s="4">
        <f t="shared" si="1"/>
        <v>-4540.9965766207979</v>
      </c>
      <c r="U13" s="4">
        <f>IF(A13&lt;('2. Inputs and results'!$C$23+1),U12+((G13+I13+H13+J13-$V$6+T13)/((1+$P$2)^A13)),NA())</f>
        <v>-229666.68559696196</v>
      </c>
      <c r="V13" s="4">
        <f>IF(A13&lt;('2. Inputs and results'!$C$23+1),V12+('2. Inputs and results'!$C$77*'2. Inputs and results'!$C$75)," ")</f>
        <v>56000</v>
      </c>
      <c r="W13" s="4">
        <f>IF(A13&lt;('2. Inputs and results'!$C$23+1),W12+C13+Y13-$V$6,NA())</f>
        <v>-265413.98847565008</v>
      </c>
      <c r="X13" s="4">
        <f>IF(A13&lt;('2. Inputs and results'!$C$23+1),'2. Inputs and results'!$C$81*(W12)," ")</f>
        <v>-6190.4703622676489</v>
      </c>
      <c r="Y13" s="4">
        <f t="shared" si="2"/>
        <v>-6190.4703622676489</v>
      </c>
      <c r="Z13" s="4">
        <f>IF(A13&lt;('2. Inputs and results'!$C$23+1),Z12+((C13-$V$6+Y13)/((1+$P$2)^A13)),NA())</f>
        <v>-318750.46393032291</v>
      </c>
      <c r="AA13" s="4">
        <f>IF(A13&lt;('2. Inputs and results'!$C$23+1),AA12+G13+I13+H13+T13-$V$6," ")</f>
        <v>442567.18843254424</v>
      </c>
      <c r="AB13" s="11">
        <f>IF(A13&lt;('2. Inputs and results'!$C$23+1),AA13/L13,NA())</f>
        <v>0.74381040072696514</v>
      </c>
      <c r="AC13" s="12">
        <f>IF(A13&lt;('2. Inputs and results'!$C$23+1),AC12+C13+Y13-$V$6," ")</f>
        <v>329586.01152434992</v>
      </c>
      <c r="AD13" s="11">
        <f>IF(A13&lt;('2. Inputs and results'!$C$23+1),AC13/L13,NA())</f>
        <v>0.55392606978882342</v>
      </c>
      <c r="AE13">
        <f>IF(A13&lt;('2. Inputs and results'!$C$23+1),-'2. Inputs and results'!$C$124*A13," ")</f>
        <v>-816000</v>
      </c>
      <c r="AF13">
        <f>IF(A13&lt;('2. Inputs and results'!$C$23+1),AE13/1000,NA())</f>
        <v>-816</v>
      </c>
    </row>
    <row r="14" spans="1:32">
      <c r="A14">
        <f t="shared" si="0"/>
        <v>9</v>
      </c>
      <c r="B14">
        <f>IF(A14&lt;('2. Inputs and results'!$C$23+1),A14," ")</f>
        <v>9</v>
      </c>
      <c r="C14" s="4">
        <f>IF(A14&lt;('2. Inputs and results'!$C$23+1),'2. Inputs and results'!$C$101+'2. Inputs and results'!$C$103," ")</f>
        <v>57300</v>
      </c>
      <c r="D14" s="4">
        <f>IF(A14&lt;('2. Inputs and results'!$C$23+1),D13+C14,NA())</f>
        <v>515700</v>
      </c>
      <c r="E14" s="4">
        <f>IF(A14&lt;('2. Inputs and results'!$C$23+1),C14/((1+$P$2)^A14)," ")</f>
        <v>40258.219948666985</v>
      </c>
      <c r="F14" s="4">
        <f>IF(B14&lt;('2. Inputs and results'!$C$23+1),F13+E14," ")</f>
        <v>426044.50128332479</v>
      </c>
      <c r="G14" s="4">
        <f>IF(A14&lt;('2. Inputs and results'!$C$23+1),G13*(1+'2. Inputs and results'!$C$48)," ")</f>
        <v>93240.112360054278</v>
      </c>
      <c r="H14" s="4">
        <f>IF(A14&lt;('2. Inputs and results'!$C$23+1),H13*(1+'2. Inputs and results'!$C$60)," ")</f>
        <v>0</v>
      </c>
      <c r="I14" s="4">
        <f>IF(A14&lt;('2. Inputs and results'!$C$23+1),I13*(1+'2. Inputs and results'!$C$36)," ")</f>
        <v>-1912.6176894370105</v>
      </c>
      <c r="J14" s="4">
        <f>IF(A14&lt;('2. Inputs and results'!$C$23+1),J13*(1+'2. Inputs and results'!$C$70)," ")</f>
        <v>0</v>
      </c>
      <c r="K14" s="4">
        <f>IF(A14&lt;('2. Inputs and results'!$C$23+1),K13+(G14+I14+H14+J14),NA())</f>
        <v>658452.40584757121</v>
      </c>
      <c r="L14" s="4">
        <f>IF(A14&lt;('2. Inputs and results'!$C$23+1),L13,NA())</f>
        <v>595000</v>
      </c>
      <c r="M14" s="4">
        <f>IF(A14&lt;('2. Inputs and results'!$C$23+1),'2. Inputs and results'!$C$77*'2. Inputs and results'!$C$75," ")</f>
        <v>7000</v>
      </c>
      <c r="N14" s="4">
        <f>IF(A14&lt;('2. Inputs and results'!$C$23+1),M14/((1+$P$2)^A14)," ")</f>
        <v>4918.1071490518134</v>
      </c>
      <c r="O14" s="4">
        <f>IF(A14&lt;('2. Inputs and results'!$C$23+1),'2. Inputs and results'!$C$75*'2. Inputs and results'!$C$77+O13," ")</f>
        <v>651000</v>
      </c>
      <c r="P14" s="4">
        <f>IF(A14&lt;('2. Inputs and results'!$C$23+1),(G14+I14+H14+J14)/((1+$P$2)^A14)," ")</f>
        <v>64165.486349222025</v>
      </c>
      <c r="Q14" s="4">
        <f>IF(A14&lt;('2. Inputs and results'!$C$23+1),Q13+P14," ")</f>
        <v>535770.77650876727</v>
      </c>
      <c r="R14" s="4">
        <f>IF(A14&lt;('2. Inputs and results'!$C$23+1),R13+G14+I14+H14+J14+T14-$V$6,NA())</f>
        <v>-71153.973128187557</v>
      </c>
      <c r="S14" s="4">
        <f>IF(A14&lt;('2. Inputs and results'!$C$23+1),'2. Inputs and results'!$C$81*(R13)," ")</f>
        <v>-3048.656231349114</v>
      </c>
      <c r="T14" s="4">
        <f t="shared" si="1"/>
        <v>-3048.656231349114</v>
      </c>
      <c r="U14" s="4">
        <f>IF(A14&lt;('2. Inputs and results'!$C$23+1),U13+((G14+I14+H14+J14-$V$6+T14)/((1+$P$2)^A14)),NA())</f>
        <v>-172561.25182627738</v>
      </c>
      <c r="V14" s="4">
        <f>IF(A14&lt;('2. Inputs and results'!$C$23+1),V13+('2. Inputs and results'!$C$77*'2. Inputs and results'!$C$75)," ")</f>
        <v>63000</v>
      </c>
      <c r="W14" s="4">
        <f>IF(A14&lt;('2. Inputs and results'!$C$23+1),W13+C14+Y14-$V$6,NA())</f>
        <v>-220422.26824516308</v>
      </c>
      <c r="X14" s="4">
        <f>IF(A14&lt;('2. Inputs and results'!$C$23+1),'2. Inputs and results'!$C$81*(W13)," ")</f>
        <v>-5308.2797695130021</v>
      </c>
      <c r="Y14" s="4">
        <f t="shared" si="2"/>
        <v>-5308.2797695130021</v>
      </c>
      <c r="Z14" s="4">
        <f>IF(A14&lt;('2. Inputs and results'!$C$23+1),Z13+((C14-$V$6+Y14)/((1+$P$2)^A14)),NA())</f>
        <v>-287139.878085509</v>
      </c>
      <c r="AA14" s="4">
        <f>IF(A14&lt;('2. Inputs and results'!$C$23+1),AA13+G14+I14+H14+T14-$V$6," ")</f>
        <v>523846.02687181241</v>
      </c>
      <c r="AB14" s="11">
        <f>IF(A14&lt;('2. Inputs and results'!$C$23+1),AA14/L14,NA())</f>
        <v>0.88041349054086115</v>
      </c>
      <c r="AC14" s="12">
        <f>IF(A14&lt;('2. Inputs and results'!$C$23+1),AC13+C14+Y14-$V$6," ")</f>
        <v>374577.73175483692</v>
      </c>
      <c r="AD14" s="11">
        <f>IF(A14&lt;('2. Inputs and results'!$C$23+1),AC14/L14,NA())</f>
        <v>0.62954240631065028</v>
      </c>
      <c r="AE14">
        <f>IF(A14&lt;('2. Inputs and results'!$C$23+1),-'2. Inputs and results'!$C$124*A14," ")</f>
        <v>-918000</v>
      </c>
      <c r="AF14">
        <f>IF(A14&lt;('2. Inputs and results'!$C$23+1),AE14/1000,NA())</f>
        <v>-918</v>
      </c>
    </row>
    <row r="15" spans="1:32">
      <c r="A15">
        <f t="shared" si="0"/>
        <v>10</v>
      </c>
      <c r="B15">
        <f>IF(A15&lt;('2. Inputs and results'!$C$23+1),A15," ")</f>
        <v>10</v>
      </c>
      <c r="C15" s="4">
        <f>IF(A15&lt;('2. Inputs and results'!$C$23+1),'2. Inputs and results'!$C$101+'2. Inputs and results'!$C$103," ")</f>
        <v>57300</v>
      </c>
      <c r="D15" s="4">
        <f>IF(A15&lt;('2. Inputs and results'!$C$23+1),D14+C15,NA())</f>
        <v>573000</v>
      </c>
      <c r="E15" s="4">
        <f>IF(A15&lt;('2. Inputs and results'!$C$23+1),C15/((1+$P$2)^A15)," ")</f>
        <v>38709.826873718259</v>
      </c>
      <c r="F15" s="4">
        <f>IF(B15&lt;('2. Inputs and results'!$C$23+1),F14+E15," ")</f>
        <v>464754.32815704303</v>
      </c>
      <c r="G15" s="4">
        <f>IF(A15&lt;('2. Inputs and results'!$C$23+1),G14*(1+'2. Inputs and results'!$C$48)," ")</f>
        <v>98834.519101657541</v>
      </c>
      <c r="H15" s="4">
        <f>IF(A15&lt;('2. Inputs and results'!$C$23+1),H14*(1+'2. Inputs and results'!$C$60)," ")</f>
        <v>0</v>
      </c>
      <c r="I15" s="4">
        <f>IF(A15&lt;('2. Inputs and results'!$C$23+1),I14*(1+'2. Inputs and results'!$C$36)," ")</f>
        <v>-2027.3747508032313</v>
      </c>
      <c r="J15" s="4">
        <f>IF(A15&lt;('2. Inputs and results'!$C$23+1),J14*(1+'2. Inputs and results'!$C$70)," ")</f>
        <v>0</v>
      </c>
      <c r="K15" s="4">
        <f>IF(A15&lt;('2. Inputs and results'!$C$23+1),K14+(G15+I15+H15+J15),NA())</f>
        <v>755259.55019842554</v>
      </c>
      <c r="L15" s="4">
        <f>IF(A15&lt;('2. Inputs and results'!$C$23+1),L14,NA())</f>
        <v>595000</v>
      </c>
      <c r="M15" s="4">
        <f>IF(A15&lt;('2. Inputs and results'!$C$23+1),'2. Inputs and results'!$C$77*'2. Inputs and results'!$C$75," ")</f>
        <v>7000</v>
      </c>
      <c r="N15" s="4">
        <f>IF(A15&lt;('2. Inputs and results'!$C$23+1),M15/((1+$P$2)^A15)," ")</f>
        <v>4728.9491817805902</v>
      </c>
      <c r="O15" s="4">
        <f>IF(A15&lt;('2. Inputs and results'!$C$23+1),'2. Inputs and results'!$C$75*'2. Inputs and results'!$C$77+O14," ")</f>
        <v>658000</v>
      </c>
      <c r="P15" s="4">
        <f>IF(A15&lt;('2. Inputs and results'!$C$23+1),(G15+I15+H15+J15)/((1+$P$2)^A15)," ")</f>
        <v>65399.438009783997</v>
      </c>
      <c r="Q15" s="4">
        <f>IF(A15&lt;('2. Inputs and results'!$C$23+1),Q14+P15," ")</f>
        <v>601170.21451855125</v>
      </c>
      <c r="R15" s="4">
        <f>IF(A15&lt;('2. Inputs and results'!$C$23+1),R14+G15+I15+H15+J15+T15-$V$6,NA())</f>
        <v>17230.091760103001</v>
      </c>
      <c r="S15" s="4">
        <f>IF(A15&lt;('2. Inputs and results'!$C$23+1),'2. Inputs and results'!$C$81*(R14)," ")</f>
        <v>-1423.0794625637511</v>
      </c>
      <c r="T15" s="4">
        <f t="shared" si="1"/>
        <v>-1423.0794625637511</v>
      </c>
      <c r="U15" s="4">
        <f>IF(A15&lt;('2. Inputs and results'!$C$23+1),U14+((G15+I15+H15+J15-$V$6+T15)/((1+$P$2)^A15)),NA())</f>
        <v>-112852.14449257392</v>
      </c>
      <c r="V15" s="4">
        <f>IF(A15&lt;('2. Inputs and results'!$C$23+1),V14+('2. Inputs and results'!$C$77*'2. Inputs and results'!$C$75)," ")</f>
        <v>70000</v>
      </c>
      <c r="W15" s="4">
        <f>IF(A15&lt;('2. Inputs and results'!$C$23+1),W14+C15+Y15-$V$6,NA())</f>
        <v>-174530.71361006633</v>
      </c>
      <c r="X15" s="4">
        <f>IF(A15&lt;('2. Inputs and results'!$C$23+1),'2. Inputs and results'!$C$81*(W14)," ")</f>
        <v>-4408.4453649032621</v>
      </c>
      <c r="Y15" s="4">
        <f t="shared" si="2"/>
        <v>-4408.4453649032621</v>
      </c>
      <c r="Z15" s="4">
        <f>IF(A15&lt;('2. Inputs and results'!$C$23+1),Z14+((C15-$V$6+Y15)/((1+$P$2)^A15)),NA())</f>
        <v>-256137.18812232616</v>
      </c>
      <c r="AA15" s="4">
        <f>IF(A15&lt;('2. Inputs and results'!$C$23+1),AA14+G15+I15+H15+T15-$V$6," ")</f>
        <v>612230.09176010301</v>
      </c>
      <c r="AB15" s="11">
        <f>IF(A15&lt;('2. Inputs and results'!$C$23+1),AA15/L15,NA())</f>
        <v>1.0289581374119379</v>
      </c>
      <c r="AC15" s="12">
        <f>IF(A15&lt;('2. Inputs and results'!$C$23+1),AC14+C15+Y15-$V$6," ")</f>
        <v>420469.28638993367</v>
      </c>
      <c r="AD15" s="11">
        <f>IF(A15&lt;('2. Inputs and results'!$C$23+1),AC15/L15,NA())</f>
        <v>0.7066710695629137</v>
      </c>
      <c r="AE15">
        <f>IF(A15&lt;('2. Inputs and results'!$C$23+1),-'2. Inputs and results'!$C$124*A15," ")</f>
        <v>-1020000</v>
      </c>
      <c r="AF15">
        <f>IF(A15&lt;('2. Inputs and results'!$C$23+1),AE15/1000,NA())</f>
        <v>-1020</v>
      </c>
    </row>
    <row r="16" spans="1:32">
      <c r="A16">
        <f t="shared" si="0"/>
        <v>11</v>
      </c>
      <c r="B16">
        <f>IF(A16&lt;('2. Inputs and results'!$C$23+1),A16," ")</f>
        <v>11</v>
      </c>
      <c r="C16" s="4">
        <f>IF(A16&lt;('2. Inputs and results'!$C$23+1),'2. Inputs and results'!$C$101+'2. Inputs and results'!$C$103," ")</f>
        <v>57300</v>
      </c>
      <c r="D16" s="4">
        <f>IF(A16&lt;('2. Inputs and results'!$C$23+1),D15+C16,NA())</f>
        <v>630300</v>
      </c>
      <c r="E16" s="4">
        <f>IF(A16&lt;('2. Inputs and results'!$C$23+1),C16/((1+$P$2)^A16)," ")</f>
        <v>37220.98737857525</v>
      </c>
      <c r="F16" s="4">
        <f>IF(B16&lt;('2. Inputs and results'!$C$23+1),F15+E16," ")</f>
        <v>501975.31553561828</v>
      </c>
      <c r="G16" s="4">
        <f>IF(A16&lt;('2. Inputs and results'!$C$23+1),G15*(1+'2. Inputs and results'!$C$48)," ")</f>
        <v>104764.59024775701</v>
      </c>
      <c r="H16" s="4">
        <f>IF(A16&lt;('2. Inputs and results'!$C$23+1),H15*(1+'2. Inputs and results'!$C$60)," ")</f>
        <v>0</v>
      </c>
      <c r="I16" s="4">
        <f>IF(A16&lt;('2. Inputs and results'!$C$23+1),I15*(1+'2. Inputs and results'!$C$36)," ")</f>
        <v>-2149.0172358514255</v>
      </c>
      <c r="J16" s="4">
        <f>IF(A16&lt;('2. Inputs and results'!$C$23+1),J15*(1+'2. Inputs and results'!$C$70)," ")</f>
        <v>0</v>
      </c>
      <c r="K16" s="4">
        <f>IF(A16&lt;('2. Inputs and results'!$C$23+1),K15+(G16+I16+H16+J16),NA())</f>
        <v>857875.12321033108</v>
      </c>
      <c r="L16" s="4">
        <f>IF(A16&lt;('2. Inputs and results'!$C$23+1),L15,NA())</f>
        <v>595000</v>
      </c>
      <c r="M16" s="4">
        <f>IF(A16&lt;('2. Inputs and results'!$C$23+1),'2. Inputs and results'!$C$77*'2. Inputs and results'!$C$75," ")</f>
        <v>7000</v>
      </c>
      <c r="N16" s="4">
        <f>IF(A16&lt;('2. Inputs and results'!$C$23+1),M16/((1+$P$2)^A16)," ")</f>
        <v>4547.0665209428753</v>
      </c>
      <c r="O16" s="4">
        <f>IF(A16&lt;('2. Inputs and results'!$C$23+1),'2. Inputs and results'!$C$75*'2. Inputs and results'!$C$77+O15," ")</f>
        <v>665000</v>
      </c>
      <c r="P16" s="4">
        <f>IF(A16&lt;('2. Inputs and results'!$C$23+1),(G16+I16+H16+J16)/((1+$P$2)^A16)," ")</f>
        <v>66657.119509972152</v>
      </c>
      <c r="Q16" s="4">
        <f>IF(A16&lt;('2. Inputs and results'!$C$23+1),Q15+P16," ")</f>
        <v>667827.33402852342</v>
      </c>
      <c r="R16" s="4">
        <f>IF(A16&lt;('2. Inputs and results'!$C$23+1),R15+G16+I16+H16+J16+T16-$V$6,NA())</f>
        <v>112845.66477200859</v>
      </c>
      <c r="S16" s="4">
        <f>IF(A16&lt;('2. Inputs and results'!$C$23+1),'2. Inputs and results'!$C$81*(R15)," ")</f>
        <v>344.60183520206004</v>
      </c>
      <c r="T16" s="4">
        <f t="shared" si="1"/>
        <v>0</v>
      </c>
      <c r="U16" s="4">
        <f>IF(A16&lt;('2. Inputs and results'!$C$23+1),U15+((G16+I16+H16+J16-$V$6+T16)/((1+$P$2)^A16)),NA())</f>
        <v>-50742.091503544638</v>
      </c>
      <c r="V16" s="4">
        <f>IF(A16&lt;('2. Inputs and results'!$C$23+1),V15+('2. Inputs and results'!$C$77*'2. Inputs and results'!$C$75)," ")</f>
        <v>77000</v>
      </c>
      <c r="W16" s="4">
        <f>IF(A16&lt;('2. Inputs and results'!$C$23+1),W15+C16+Y16-$V$6,NA())</f>
        <v>-127721.32788226767</v>
      </c>
      <c r="X16" s="4">
        <f>IF(A16&lt;('2. Inputs and results'!$C$23+1),'2. Inputs and results'!$C$81*(W15)," ")</f>
        <v>-3490.6142722013269</v>
      </c>
      <c r="Y16" s="4">
        <f t="shared" si="2"/>
        <v>-3490.6142722013269</v>
      </c>
      <c r="Z16" s="4">
        <f>IF(A16&lt;('2. Inputs and results'!$C$23+1),Z15+((C16-$V$6+Y16)/((1+$P$2)^A16)),NA())</f>
        <v>-225730.70373535837</v>
      </c>
      <c r="AA16" s="4">
        <f>IF(A16&lt;('2. Inputs and results'!$C$23+1),AA15+G16+I16+H16+T16-$V$6," ")</f>
        <v>707845.66477200866</v>
      </c>
      <c r="AB16" s="11">
        <f>IF(A16&lt;('2. Inputs and results'!$C$23+1),AA16/L16,NA())</f>
        <v>1.1896565794487541</v>
      </c>
      <c r="AC16" s="12">
        <f>IF(A16&lt;('2. Inputs and results'!$C$23+1),AC15+C16+Y16-$V$6," ")</f>
        <v>467278.67211773235</v>
      </c>
      <c r="AD16" s="11">
        <f>IF(A16&lt;('2. Inputs and results'!$C$23+1),AC16/L16,NA())</f>
        <v>0.78534230608022249</v>
      </c>
      <c r="AE16">
        <f>IF(A16&lt;('2. Inputs and results'!$C$23+1),-'2. Inputs and results'!$C$124*A16," ")</f>
        <v>-1122000</v>
      </c>
      <c r="AF16">
        <f>IF(A16&lt;('2. Inputs and results'!$C$23+1),AE16/1000,NA())</f>
        <v>-1122</v>
      </c>
    </row>
    <row r="17" spans="1:32">
      <c r="A17">
        <f t="shared" si="0"/>
        <v>12</v>
      </c>
      <c r="B17">
        <f>IF(A17&lt;('2. Inputs and results'!$C$23+1),A17," ")</f>
        <v>12</v>
      </c>
      <c r="C17" s="4">
        <f>IF(A17&lt;('2. Inputs and results'!$C$23+1),'2. Inputs and results'!$C$101+'2. Inputs and results'!$C$103," ")</f>
        <v>57300</v>
      </c>
      <c r="D17" s="4">
        <f>IF(A17&lt;('2. Inputs and results'!$C$23+1),D16+C17,NA())</f>
        <v>687600</v>
      </c>
      <c r="E17" s="4">
        <f>IF(A17&lt;('2. Inputs and results'!$C$23+1),C17/((1+$P$2)^A17)," ")</f>
        <v>35789.410940937734</v>
      </c>
      <c r="F17" s="4">
        <f>IF(B17&lt;('2. Inputs and results'!$C$23+1),F16+E17," ")</f>
        <v>537764.72647655604</v>
      </c>
      <c r="G17" s="4">
        <f>IF(A17&lt;('2. Inputs and results'!$C$23+1),G16*(1+'2. Inputs and results'!$C$48)," ")</f>
        <v>111050.46566262243</v>
      </c>
      <c r="H17" s="4">
        <f>IF(A17&lt;('2. Inputs and results'!$C$23+1),H16*(1+'2. Inputs and results'!$C$60)," ")</f>
        <v>0</v>
      </c>
      <c r="I17" s="4">
        <f>IF(A17&lt;('2. Inputs and results'!$C$23+1),I16*(1+'2. Inputs and results'!$C$36)," ")</f>
        <v>-2277.9582700025112</v>
      </c>
      <c r="J17" s="4">
        <f>IF(A17&lt;('2. Inputs and results'!$C$23+1),J16*(1+'2. Inputs and results'!$C$70)," ")</f>
        <v>0</v>
      </c>
      <c r="K17" s="4">
        <f>IF(A17&lt;('2. Inputs and results'!$C$23+1),K16+(G17+I17+H17+J17),NA())</f>
        <v>966647.63060295105</v>
      </c>
      <c r="L17" s="4">
        <f>IF(A17&lt;('2. Inputs and results'!$C$23+1),L16,NA())</f>
        <v>595000</v>
      </c>
      <c r="M17" s="4">
        <f>IF(A17&lt;('2. Inputs and results'!$C$23+1),'2. Inputs and results'!$C$77*'2. Inputs and results'!$C$75," ")</f>
        <v>7000</v>
      </c>
      <c r="N17" s="4">
        <f>IF(A17&lt;('2. Inputs and results'!$C$23+1),M17/((1+$P$2)^A17)," ")</f>
        <v>4372.1793470604562</v>
      </c>
      <c r="O17" s="4">
        <f>IF(A17&lt;('2. Inputs and results'!$C$23+1),'2. Inputs and results'!$C$75*'2. Inputs and results'!$C$77+O16," ")</f>
        <v>672000</v>
      </c>
      <c r="P17" s="4">
        <f>IF(A17&lt;('2. Inputs and results'!$C$23+1),(G17+I17+H17+J17)/((1+$P$2)^A17)," ")</f>
        <v>67938.987192856235</v>
      </c>
      <c r="Q17" s="4">
        <f>IF(A17&lt;('2. Inputs and results'!$C$23+1),Q16+P17," ")</f>
        <v>735766.32122137968</v>
      </c>
      <c r="R17" s="4">
        <f>IF(A17&lt;('2. Inputs and results'!$C$23+1),R16+G17+I17+H17+J17+T17-$V$6,NA())</f>
        <v>214618.17216462852</v>
      </c>
      <c r="S17" s="4">
        <f>IF(A17&lt;('2. Inputs and results'!$C$23+1),'2. Inputs and results'!$C$81*(R16)," ")</f>
        <v>2256.9132954401716</v>
      </c>
      <c r="T17" s="4">
        <f t="shared" si="1"/>
        <v>0</v>
      </c>
      <c r="U17" s="4">
        <f>IF(A17&lt;('2. Inputs and results'!$C$23+1),U16+((G17+I17+H17+J17-$V$6+T17)/((1+$P$2)^A17)),NA())</f>
        <v>12824.716342251137</v>
      </c>
      <c r="V17" s="4">
        <f>IF(A17&lt;('2. Inputs and results'!$C$23+1),V16+('2. Inputs and results'!$C$77*'2. Inputs and results'!$C$75)," ")</f>
        <v>84000</v>
      </c>
      <c r="W17" s="4">
        <f>IF(A17&lt;('2. Inputs and results'!$C$23+1),W16+C17+Y17-$V$6,NA())</f>
        <v>-79975.754439913013</v>
      </c>
      <c r="X17" s="4">
        <f>IF(A17&lt;('2. Inputs and results'!$C$23+1),'2. Inputs and results'!$C$81*(W16)," ")</f>
        <v>-2554.4265576453536</v>
      </c>
      <c r="Y17" s="4">
        <f t="shared" si="2"/>
        <v>-2554.4265576453536</v>
      </c>
      <c r="Z17" s="4">
        <f>IF(A17&lt;('2. Inputs and results'!$C$23+1),Z16+((C17-$V$6+Y17)/((1+$P$2)^A17)),NA())</f>
        <v>-195908.95943275534</v>
      </c>
      <c r="AA17" s="4">
        <f>IF(A17&lt;('2. Inputs and results'!$C$23+1),AA16+G17+I17+H17+T17-$V$6," ")</f>
        <v>809618.17216462863</v>
      </c>
      <c r="AB17" s="11">
        <f>IF(A17&lt;('2. Inputs and results'!$C$23+1),AA17/L17,NA())</f>
        <v>1.3607028103607204</v>
      </c>
      <c r="AC17" s="12">
        <f>IF(A17&lt;('2. Inputs and results'!$C$23+1),AC16+C17+Y17-$V$6," ")</f>
        <v>515024.24556008697</v>
      </c>
      <c r="AD17" s="11">
        <f>IF(A17&lt;('2. Inputs and results'!$C$23+1),AC17/L17,NA())</f>
        <v>0.86558696732787721</v>
      </c>
      <c r="AE17">
        <f>IF(A17&lt;('2. Inputs and results'!$C$23+1),-'2. Inputs and results'!$C$124*A17," ")</f>
        <v>-1224000</v>
      </c>
      <c r="AF17">
        <f>IF(A17&lt;('2. Inputs and results'!$C$23+1),AE17/1000,NA())</f>
        <v>-1224</v>
      </c>
    </row>
    <row r="18" spans="1:32">
      <c r="A18">
        <f t="shared" si="0"/>
        <v>13</v>
      </c>
      <c r="B18">
        <f>IF(A18&lt;('2. Inputs and results'!$C$23+1),A18," ")</f>
        <v>13</v>
      </c>
      <c r="C18" s="4">
        <f>IF(A18&lt;('2. Inputs and results'!$C$23+1),'2. Inputs and results'!$C$101+'2. Inputs and results'!$C$103," ")</f>
        <v>57300</v>
      </c>
      <c r="D18" s="4">
        <f>IF(A18&lt;('2. Inputs and results'!$C$23+1),D17+C18,NA())</f>
        <v>744900</v>
      </c>
      <c r="E18" s="4">
        <f>IF(A18&lt;('2. Inputs and results'!$C$23+1),C18/((1+$P$2)^A18)," ")</f>
        <v>34412.89513551705</v>
      </c>
      <c r="F18" s="4">
        <f>IF(B18&lt;('2. Inputs and results'!$C$23+1),F17+E18," ")</f>
        <v>572177.62161207304</v>
      </c>
      <c r="G18" s="4">
        <f>IF(A18&lt;('2. Inputs and results'!$C$23+1),G17*(1+'2. Inputs and results'!$C$48)," ")</f>
        <v>117713.49360237978</v>
      </c>
      <c r="H18" s="4">
        <f>IF(A18&lt;('2. Inputs and results'!$C$23+1),H17*(1+'2. Inputs and results'!$C$60)," ")</f>
        <v>0</v>
      </c>
      <c r="I18" s="4">
        <f>IF(A18&lt;('2. Inputs and results'!$C$23+1),I17*(1+'2. Inputs and results'!$C$36)," ")</f>
        <v>-2414.6357662026621</v>
      </c>
      <c r="J18" s="4">
        <f>IF(A18&lt;('2. Inputs and results'!$C$23+1),J17*(1+'2. Inputs and results'!$C$70)," ")</f>
        <v>0</v>
      </c>
      <c r="K18" s="4">
        <f>IF(A18&lt;('2. Inputs and results'!$C$23+1),K17+(G18+I18+H18+J18),NA())</f>
        <v>1081946.4884391283</v>
      </c>
      <c r="L18" s="4">
        <f>IF(A18&lt;('2. Inputs and results'!$C$23+1),L17,NA())</f>
        <v>595000</v>
      </c>
      <c r="M18" s="4">
        <f>IF(A18&lt;('2. Inputs and results'!$C$23+1),'2. Inputs and results'!$C$77*'2. Inputs and results'!$C$75," ")</f>
        <v>7000</v>
      </c>
      <c r="N18" s="4">
        <f>IF(A18&lt;('2. Inputs and results'!$C$23+1),M18/((1+$P$2)^A18)," ")</f>
        <v>4204.0186029427459</v>
      </c>
      <c r="O18" s="4">
        <f>IF(A18&lt;('2. Inputs and results'!$C$23+1),'2. Inputs and results'!$C$75*'2. Inputs and results'!$C$77+O17," ")</f>
        <v>679000</v>
      </c>
      <c r="P18" s="4">
        <f>IF(A18&lt;('2. Inputs and results'!$C$23+1),(G18+I18+H18+J18)/((1+$P$2)^A18)," ")</f>
        <v>69245.506177334231</v>
      </c>
      <c r="Q18" s="4">
        <f>IF(A18&lt;('2. Inputs and results'!$C$23+1),Q17+P18," ")</f>
        <v>805011.82739871391</v>
      </c>
      <c r="R18" s="4">
        <f>IF(A18&lt;('2. Inputs and results'!$C$23+1),R17+G18+I18+H18+J18+T18-$V$6,NA())</f>
        <v>322917.03000080568</v>
      </c>
      <c r="S18" s="4">
        <f>IF(A18&lt;('2. Inputs and results'!$C$23+1),'2. Inputs and results'!$C$81*(R17)," ")</f>
        <v>4292.3634432925701</v>
      </c>
      <c r="T18" s="4">
        <f t="shared" si="1"/>
        <v>0</v>
      </c>
      <c r="U18" s="4">
        <f>IF(A18&lt;('2. Inputs and results'!$C$23+1),U17+((G18+I18+H18+J18-$V$6+T18)/((1+$P$2)^A18)),NA())</f>
        <v>77866.203916642626</v>
      </c>
      <c r="V18" s="4">
        <f>IF(A18&lt;('2. Inputs and results'!$C$23+1),V17+('2. Inputs and results'!$C$77*'2. Inputs and results'!$C$75)," ")</f>
        <v>91000</v>
      </c>
      <c r="W18" s="4">
        <f>IF(A18&lt;('2. Inputs and results'!$C$23+1),W17+C18+Y18-$V$6,NA())</f>
        <v>-31275.269528711273</v>
      </c>
      <c r="X18" s="4">
        <f>IF(A18&lt;('2. Inputs and results'!$C$23+1),'2. Inputs and results'!$C$81*(W17)," ")</f>
        <v>-1599.5150887982602</v>
      </c>
      <c r="Y18" s="4">
        <f t="shared" si="2"/>
        <v>-1599.5150887982602</v>
      </c>
      <c r="Z18" s="4">
        <f>IF(A18&lt;('2. Inputs and results'!$C$23+1),Z17+((C18-$V$6+Y18)/((1+$P$2)^A18)),NA())</f>
        <v>-166660.71021289469</v>
      </c>
      <c r="AA18" s="4">
        <f>IF(A18&lt;('2. Inputs and results'!$C$23+1),AA17+G18+I18+H18+T18-$V$6," ")</f>
        <v>917917.03000080574</v>
      </c>
      <c r="AB18" s="11">
        <f>IF(A18&lt;('2. Inputs and results'!$C$23+1),AA18/L18,NA())</f>
        <v>1.5427176974803458</v>
      </c>
      <c r="AC18" s="12">
        <f>IF(A18&lt;('2. Inputs and results'!$C$23+1),AC17+C18+Y18-$V$6," ")</f>
        <v>563724.73047128879</v>
      </c>
      <c r="AD18" s="11">
        <f>IF(A18&lt;('2. Inputs and results'!$C$23+1),AC18/L18,NA())</f>
        <v>0.94743652180048532</v>
      </c>
      <c r="AE18">
        <f>IF(A18&lt;('2. Inputs and results'!$C$23+1),-'2. Inputs and results'!$C$124*A18," ")</f>
        <v>-1326000</v>
      </c>
      <c r="AF18">
        <f>IF(A18&lt;('2. Inputs and results'!$C$23+1),AE18/1000,NA())</f>
        <v>-1326</v>
      </c>
    </row>
    <row r="19" spans="1:32">
      <c r="A19">
        <f t="shared" si="0"/>
        <v>14</v>
      </c>
      <c r="B19">
        <f>IF(A19&lt;('2. Inputs and results'!$C$23+1),A19," ")</f>
        <v>14</v>
      </c>
      <c r="C19" s="4">
        <f>IF(A19&lt;('2. Inputs and results'!$C$23+1),'2. Inputs and results'!$C$101+'2. Inputs and results'!$C$103," ")</f>
        <v>57300</v>
      </c>
      <c r="D19" s="4">
        <f>IF(A19&lt;('2. Inputs and results'!$C$23+1),D18+C19,NA())</f>
        <v>802200</v>
      </c>
      <c r="E19" s="4">
        <f>IF(A19&lt;('2. Inputs and results'!$C$23+1),C19/((1+$P$2)^A19)," ")</f>
        <v>33089.322245689473</v>
      </c>
      <c r="F19" s="4">
        <f>IF(B19&lt;('2. Inputs and results'!$C$23+1),F18+E19," ")</f>
        <v>605266.9438577625</v>
      </c>
      <c r="G19" s="4">
        <f>IF(A19&lt;('2. Inputs and results'!$C$23+1),G18*(1+'2. Inputs and results'!$C$48)," ")</f>
        <v>124776.30321852257</v>
      </c>
      <c r="H19" s="4">
        <f>IF(A19&lt;('2. Inputs and results'!$C$23+1),H18*(1+'2. Inputs and results'!$C$60)," ")</f>
        <v>0</v>
      </c>
      <c r="I19" s="4">
        <f>IF(A19&lt;('2. Inputs and results'!$C$23+1),I18*(1+'2. Inputs and results'!$C$36)," ")</f>
        <v>-2559.5139121748221</v>
      </c>
      <c r="J19" s="4">
        <f>IF(A19&lt;('2. Inputs and results'!$C$23+1),J18*(1+'2. Inputs and results'!$C$70)," ")</f>
        <v>0</v>
      </c>
      <c r="K19" s="4">
        <f>IF(A19&lt;('2. Inputs and results'!$C$23+1),K18+(G19+I19+H19+J19),NA())</f>
        <v>1204163.277745476</v>
      </c>
      <c r="L19" s="4">
        <f>IF(A19&lt;('2. Inputs and results'!$C$23+1),L18,NA())</f>
        <v>595000</v>
      </c>
      <c r="M19" s="4">
        <f>IF(A19&lt;('2. Inputs and results'!$C$23+1),'2. Inputs and results'!$C$77*'2. Inputs and results'!$C$75," ")</f>
        <v>7000</v>
      </c>
      <c r="N19" s="4">
        <f>IF(A19&lt;('2. Inputs and results'!$C$23+1),M19/((1+$P$2)^A19)," ")</f>
        <v>4042.3255797526404</v>
      </c>
      <c r="O19" s="4">
        <f>IF(A19&lt;('2. Inputs and results'!$C$23+1),'2. Inputs and results'!$C$75*'2. Inputs and results'!$C$77+O18," ")</f>
        <v>686000</v>
      </c>
      <c r="P19" s="4">
        <f>IF(A19&lt;('2. Inputs and results'!$C$23+1),(G19+I19+H19+J19)/((1+$P$2)^A19)," ")</f>
        <v>70577.15052689836</v>
      </c>
      <c r="Q19" s="4">
        <f>IF(A19&lt;('2. Inputs and results'!$C$23+1),Q18+P19," ")</f>
        <v>875588.97792561224</v>
      </c>
      <c r="R19" s="4">
        <f>IF(A19&lt;('2. Inputs and results'!$C$23+1),R18+G19+I19+H19+J19+T19-$V$6,NA())</f>
        <v>438133.8193071534</v>
      </c>
      <c r="S19" s="4">
        <f>IF(A19&lt;('2. Inputs and results'!$C$23+1),'2. Inputs and results'!$C$81*(R18)," ")</f>
        <v>6458.340600016114</v>
      </c>
      <c r="T19" s="4">
        <f t="shared" si="1"/>
        <v>0</v>
      </c>
      <c r="U19" s="4">
        <f>IF(A19&lt;('2. Inputs and results'!$C$23+1),U18+((G19+I19+H19+J19-$V$6+T19)/((1+$P$2)^A19)),NA())</f>
        <v>144401.02886378835</v>
      </c>
      <c r="V19" s="4">
        <f>IF(A19&lt;('2. Inputs and results'!$C$23+1),V18+('2. Inputs and results'!$C$77*'2. Inputs and results'!$C$75)," ")</f>
        <v>98000</v>
      </c>
      <c r="W19" s="4">
        <f>IF(A19&lt;('2. Inputs and results'!$C$23+1),W18+C19+Y19-$V$6,NA())</f>
        <v>18399.225080714503</v>
      </c>
      <c r="X19" s="4">
        <f>IF(A19&lt;('2. Inputs and results'!$C$23+1),'2. Inputs and results'!$C$81*(W18)," ")</f>
        <v>-625.50539057422543</v>
      </c>
      <c r="Y19" s="4">
        <f t="shared" si="2"/>
        <v>-625.50539057422543</v>
      </c>
      <c r="Z19" s="4">
        <f>IF(A19&lt;('2. Inputs and results'!$C$23+1),Z18+((C19-$V$6+Y19)/((1+$P$2)^A19)),NA())</f>
        <v>-137974.92732418521</v>
      </c>
      <c r="AA19" s="4">
        <f>IF(A19&lt;('2. Inputs and results'!$C$23+1),AA18+G19+I19+H19+T19-$V$6," ")</f>
        <v>1033133.8193071535</v>
      </c>
      <c r="AB19" s="11">
        <f>IF(A19&lt;('2. Inputs and results'!$C$23+1),AA19/L19,NA())</f>
        <v>1.73635936018009</v>
      </c>
      <c r="AC19" s="12">
        <f>IF(A19&lt;('2. Inputs and results'!$C$23+1),AC18+C19+Y19-$V$6," ")</f>
        <v>613399.22508071456</v>
      </c>
      <c r="AD19" s="11">
        <f>IF(A19&lt;('2. Inputs and results'!$C$23+1),AC19/L19,NA())</f>
        <v>1.0309230673625456</v>
      </c>
      <c r="AE19">
        <f>IF(A19&lt;('2. Inputs and results'!$C$23+1),-'2. Inputs and results'!$C$124*A19," ")</f>
        <v>-1428000</v>
      </c>
      <c r="AF19">
        <f>IF(A19&lt;('2. Inputs and results'!$C$23+1),AE19/1000,NA())</f>
        <v>-1428</v>
      </c>
    </row>
    <row r="20" spans="1:32">
      <c r="A20">
        <f t="shared" si="0"/>
        <v>15</v>
      </c>
      <c r="B20">
        <f>IF(A20&lt;('2. Inputs and results'!$C$23+1),A20," ")</f>
        <v>15</v>
      </c>
      <c r="C20" s="4">
        <f>IF(A20&lt;('2. Inputs and results'!$C$23+1),'2. Inputs and results'!$C$101+'2. Inputs and results'!$C$103," ")</f>
        <v>57300</v>
      </c>
      <c r="D20" s="4">
        <f>IF(A20&lt;('2. Inputs and results'!$C$23+1),D19+C20,NA())</f>
        <v>859500</v>
      </c>
      <c r="E20" s="4">
        <f>IF(A20&lt;('2. Inputs and results'!$C$23+1),C20/((1+$P$2)^A20)," ")</f>
        <v>31816.656005470646</v>
      </c>
      <c r="F20" s="4">
        <f>IF(B20&lt;('2. Inputs and results'!$C$23+1),F19+E20," ")</f>
        <v>637083.59986323316</v>
      </c>
      <c r="G20" s="4">
        <f>IF(A20&lt;('2. Inputs and results'!$C$23+1),G19*(1+'2. Inputs and results'!$C$48)," ")</f>
        <v>132262.88141163395</v>
      </c>
      <c r="H20" s="4">
        <f>IF(A20&lt;('2. Inputs and results'!$C$23+1),H19*(1+'2. Inputs and results'!$C$60)," ")</f>
        <v>0</v>
      </c>
      <c r="I20" s="4">
        <f>IF(A20&lt;('2. Inputs and results'!$C$23+1),I19*(1+'2. Inputs and results'!$C$36)," ")</f>
        <v>-2713.0847469053115</v>
      </c>
      <c r="J20" s="4">
        <f>IF(A20&lt;('2. Inputs and results'!$C$23+1),J19*(1+'2. Inputs and results'!$C$70)," ")</f>
        <v>0</v>
      </c>
      <c r="K20" s="4">
        <f>IF(A20&lt;('2. Inputs and results'!$C$23+1),K19+(G20+I20+H20+J20),NA())</f>
        <v>1333713.0744102045</v>
      </c>
      <c r="L20" s="4">
        <f>IF(A20&lt;('2. Inputs and results'!$C$23+1),L19,NA())</f>
        <v>595000</v>
      </c>
      <c r="M20" s="4">
        <f>IF(A20&lt;('2. Inputs and results'!$C$23+1),'2. Inputs and results'!$C$77*'2. Inputs and results'!$C$75," ")</f>
        <v>7000</v>
      </c>
      <c r="N20" s="4">
        <f>IF(A20&lt;('2. Inputs and results'!$C$23+1),M20/((1+$P$2)^A20)," ")</f>
        <v>3886.8515189929235</v>
      </c>
      <c r="O20" s="4">
        <f>IF(A20&lt;('2. Inputs and results'!$C$23+1),'2. Inputs and results'!$C$75*'2. Inputs and results'!$C$77+O19," ")</f>
        <v>693000</v>
      </c>
      <c r="P20" s="4">
        <f>IF(A20&lt;('2. Inputs and results'!$C$23+1),(G20+I20+H20+J20)/((1+$P$2)^A20)," ")</f>
        <v>71934.403421646421</v>
      </c>
      <c r="Q20" s="4">
        <f>IF(A20&lt;('2. Inputs and results'!$C$23+1),Q19+P20," ")</f>
        <v>947523.38134725869</v>
      </c>
      <c r="R20" s="4">
        <f>IF(A20&lt;('2. Inputs and results'!$C$23+1),R19+G20+I20+H20+J20+T20-$V$6,NA())</f>
        <v>560683.61597188213</v>
      </c>
      <c r="S20" s="4">
        <f>IF(A20&lt;('2. Inputs and results'!$C$23+1),'2. Inputs and results'!$C$81*(R19)," ")</f>
        <v>8762.6763861430682</v>
      </c>
      <c r="T20" s="4">
        <f t="shared" si="1"/>
        <v>0</v>
      </c>
      <c r="U20" s="4">
        <f>IF(A20&lt;('2. Inputs and results'!$C$23+1),U19+((G20+I20+H20+J20-$V$6+T20)/((1+$P$2)^A20)),NA())</f>
        <v>212448.58076644182</v>
      </c>
      <c r="V20" s="4">
        <f>IF(A20&lt;('2. Inputs and results'!$C$23+1),V19+('2. Inputs and results'!$C$77*'2. Inputs and results'!$C$75)," ")</f>
        <v>105000</v>
      </c>
      <c r="W20" s="4">
        <f>IF(A20&lt;('2. Inputs and results'!$C$23+1),W19+C20+Y20-$V$6,NA())</f>
        <v>68699.225080714503</v>
      </c>
      <c r="X20" s="4">
        <f>IF(A20&lt;('2. Inputs and results'!$C$23+1),'2. Inputs and results'!$C$81*(W19)," ")</f>
        <v>367.98450161429008</v>
      </c>
      <c r="Y20" s="4">
        <f t="shared" si="2"/>
        <v>0</v>
      </c>
      <c r="Z20" s="4">
        <f>IF(A20&lt;('2. Inputs and results'!$C$23+1),Z19+((C20-$V$6+Y20)/((1+$P$2)^A20)),NA())</f>
        <v>-110045.12283770749</v>
      </c>
      <c r="AA20" s="4">
        <f>IF(A20&lt;('2. Inputs and results'!$C$23+1),AA19+G20+I20+H20+T20-$V$6," ")</f>
        <v>1155683.6159718821</v>
      </c>
      <c r="AB20" s="11">
        <f>IF(A20&lt;('2. Inputs and results'!$C$23+1),AA20/L20,NA())</f>
        <v>1.9423254049947598</v>
      </c>
      <c r="AC20" s="12">
        <f>IF(A20&lt;('2. Inputs and results'!$C$23+1),AC19+C20+Y20-$V$6," ")</f>
        <v>663699.22508071456</v>
      </c>
      <c r="AD20" s="11">
        <f>IF(A20&lt;('2. Inputs and results'!$C$23+1),AC20/L20,NA())</f>
        <v>1.1154608824885959</v>
      </c>
      <c r="AE20">
        <f>IF(A20&lt;('2. Inputs and results'!$C$23+1),-'2. Inputs and results'!$C$124*A20," ")</f>
        <v>-1530000</v>
      </c>
      <c r="AF20">
        <f>IF(A20&lt;('2. Inputs and results'!$C$23+1),AE20/1000,NA())</f>
        <v>-1530</v>
      </c>
    </row>
    <row r="21" spans="1:32">
      <c r="A21">
        <f t="shared" si="0"/>
        <v>16</v>
      </c>
      <c r="B21">
        <f>IF(A21&lt;('2. Inputs and results'!$C$23+1),A21," ")</f>
        <v>16</v>
      </c>
      <c r="C21" s="4">
        <f>IF(A21&lt;('2. Inputs and results'!$C$23+1),'2. Inputs and results'!$C$101+'2. Inputs and results'!$C$103," ")</f>
        <v>57300</v>
      </c>
      <c r="D21" s="4">
        <f>IF(A21&lt;('2. Inputs and results'!$C$23+1),D20+C21,NA())</f>
        <v>916800</v>
      </c>
      <c r="E21" s="4">
        <f>IF(A21&lt;('2. Inputs and results'!$C$23+1),C21/((1+$P$2)^A21)," ")</f>
        <v>30592.938466798692</v>
      </c>
      <c r="F21" s="4">
        <f>IF(B21&lt;('2. Inputs and results'!$C$23+1),F20+E21," ")</f>
        <v>667676.53833003191</v>
      </c>
      <c r="G21" s="4">
        <f>IF(A21&lt;('2. Inputs and results'!$C$23+1),G20*(1+'2. Inputs and results'!$C$48)," ")</f>
        <v>140198.65429633198</v>
      </c>
      <c r="H21" s="4">
        <f>IF(A21&lt;('2. Inputs and results'!$C$23+1),H20*(1+'2. Inputs and results'!$C$60)," ")</f>
        <v>0</v>
      </c>
      <c r="I21" s="4">
        <f>IF(A21&lt;('2. Inputs and results'!$C$23+1),I20*(1+'2. Inputs and results'!$C$36)," ")</f>
        <v>-2875.8698317196304</v>
      </c>
      <c r="J21" s="4">
        <f>IF(A21&lt;('2. Inputs and results'!$C$23+1),J20*(1+'2. Inputs and results'!$C$70)," ")</f>
        <v>0</v>
      </c>
      <c r="K21" s="4">
        <f>IF(A21&lt;('2. Inputs and results'!$C$23+1),K20+(G21+I21+H21+J21),NA())</f>
        <v>1471035.8588748169</v>
      </c>
      <c r="L21" s="4">
        <f>IF(A21&lt;('2. Inputs and results'!$C$23+1),L20,NA())</f>
        <v>595000</v>
      </c>
      <c r="M21" s="4">
        <f>IF(A21&lt;('2. Inputs and results'!$C$23+1),'2. Inputs and results'!$C$77*'2. Inputs and results'!$C$75," ")</f>
        <v>7000</v>
      </c>
      <c r="N21" s="4">
        <f>IF(A21&lt;('2. Inputs and results'!$C$23+1),M21/((1+$P$2)^A21)," ")</f>
        <v>3737.3572298008876</v>
      </c>
      <c r="O21" s="4">
        <f>IF(A21&lt;('2. Inputs and results'!$C$23+1),'2. Inputs and results'!$C$75*'2. Inputs and results'!$C$77+O20," ")</f>
        <v>700000</v>
      </c>
      <c r="P21" s="4">
        <f>IF(A21&lt;('2. Inputs and results'!$C$23+1),(G21+I21+H21+J21)/((1+$P$2)^A21)," ")</f>
        <v>73317.757333601126</v>
      </c>
      <c r="Q21" s="4">
        <f>IF(A21&lt;('2. Inputs and results'!$C$23+1),Q20+P21," ")</f>
        <v>1020841.1386808598</v>
      </c>
      <c r="R21" s="4">
        <f>IF(A21&lt;('2. Inputs and results'!$C$23+1),R20+G21+I21+H21+J21+T21-$V$6,NA())</f>
        <v>691006.4004364945</v>
      </c>
      <c r="S21" s="4">
        <f>IF(A21&lt;('2. Inputs and results'!$C$23+1),'2. Inputs and results'!$C$81*(R20)," ")</f>
        <v>11213.672319437643</v>
      </c>
      <c r="T21" s="4">
        <f t="shared" si="1"/>
        <v>0</v>
      </c>
      <c r="U21" s="4">
        <f>IF(A21&lt;('2. Inputs and results'!$C$23+1),U20+((G21+I21+H21+J21-$V$6+T21)/((1+$P$2)^A21)),NA())</f>
        <v>282028.98087024206</v>
      </c>
      <c r="V21" s="4">
        <f>IF(A21&lt;('2. Inputs and results'!$C$23+1),V20+('2. Inputs and results'!$C$77*'2. Inputs and results'!$C$75)," ")</f>
        <v>112000</v>
      </c>
      <c r="W21" s="4">
        <f>IF(A21&lt;('2. Inputs and results'!$C$23+1),W20+C21+Y21-$V$6,NA())</f>
        <v>118999.2250807145</v>
      </c>
      <c r="X21" s="4">
        <f>IF(A21&lt;('2. Inputs and results'!$C$23+1),'2. Inputs and results'!$C$81*(W20)," ")</f>
        <v>1373.9845016142901</v>
      </c>
      <c r="Y21" s="4">
        <f t="shared" si="2"/>
        <v>0</v>
      </c>
      <c r="Z21" s="4">
        <f>IF(A21&lt;('2. Inputs and results'!$C$23+1),Z20+((C21-$V$6+Y21)/((1+$P$2)^A21)),NA())</f>
        <v>-83189.541600709679</v>
      </c>
      <c r="AA21" s="4">
        <f>IF(A21&lt;('2. Inputs and results'!$C$23+1),AA20+G21+I21+H21+T21-$V$6," ")</f>
        <v>1286006.4004364945</v>
      </c>
      <c r="AB21" s="11">
        <f>IF(A21&lt;('2. Inputs and results'!$C$23+1),AA21/L21,NA())</f>
        <v>2.1613552948512513</v>
      </c>
      <c r="AC21" s="12">
        <f>IF(A21&lt;('2. Inputs and results'!$C$23+1),AC20+C21+Y21-$V$6," ")</f>
        <v>713999.22508071456</v>
      </c>
      <c r="AD21" s="11">
        <f>IF(A21&lt;('2. Inputs and results'!$C$23+1),AC21/L21,NA())</f>
        <v>1.1999986976146464</v>
      </c>
      <c r="AE21">
        <f>IF(A21&lt;('2. Inputs and results'!$C$23+1),-'2. Inputs and results'!$C$124*A21," ")</f>
        <v>-1632000</v>
      </c>
      <c r="AF21">
        <f>IF(A21&lt;('2. Inputs and results'!$C$23+1),AE21/1000,NA())</f>
        <v>-1632</v>
      </c>
    </row>
    <row r="22" spans="1:32">
      <c r="A22">
        <f t="shared" si="0"/>
        <v>17</v>
      </c>
      <c r="B22">
        <f>IF(A22&lt;('2. Inputs and results'!$C$23+1),A22," ")</f>
        <v>17</v>
      </c>
      <c r="C22" s="4">
        <f>IF(A22&lt;('2. Inputs and results'!$C$23+1),'2. Inputs and results'!$C$101+'2. Inputs and results'!$C$103," ")</f>
        <v>57300</v>
      </c>
      <c r="D22" s="4">
        <f>IF(A22&lt;('2. Inputs and results'!$C$23+1),D21+C22,NA())</f>
        <v>974100</v>
      </c>
      <c r="E22" s="4">
        <f>IF(A22&lt;('2. Inputs and results'!$C$23+1),C22/((1+$P$2)^A22)," ")</f>
        <v>29416.286987306434</v>
      </c>
      <c r="F22" s="4">
        <f>IF(B22&lt;('2. Inputs and results'!$C$23+1),F21+E22," ")</f>
        <v>697092.82531733834</v>
      </c>
      <c r="G22" s="4">
        <f>IF(A22&lt;('2. Inputs and results'!$C$23+1),G21*(1+'2. Inputs and results'!$C$48)," ")</f>
        <v>148610.57355411191</v>
      </c>
      <c r="H22" s="4">
        <f>IF(A22&lt;('2. Inputs and results'!$C$23+1),H21*(1+'2. Inputs and results'!$C$60)," ")</f>
        <v>0</v>
      </c>
      <c r="I22" s="4">
        <f>IF(A22&lt;('2. Inputs and results'!$C$23+1),I21*(1+'2. Inputs and results'!$C$36)," ")</f>
        <v>-3048.4220216228082</v>
      </c>
      <c r="J22" s="4">
        <f>IF(A22&lt;('2. Inputs and results'!$C$23+1),J21*(1+'2. Inputs and results'!$C$70)," ")</f>
        <v>0</v>
      </c>
      <c r="K22" s="4">
        <f>IF(A22&lt;('2. Inputs and results'!$C$23+1),K21+(G22+I22+H22+J22),NA())</f>
        <v>1616598.010407306</v>
      </c>
      <c r="L22" s="4">
        <f>IF(A22&lt;('2. Inputs and results'!$C$23+1),L21,NA())</f>
        <v>595000</v>
      </c>
      <c r="M22" s="4">
        <f>IF(A22&lt;('2. Inputs and results'!$C$23+1),'2. Inputs and results'!$C$77*'2. Inputs and results'!$C$75," ")</f>
        <v>7000</v>
      </c>
      <c r="N22" s="4">
        <f>IF(A22&lt;('2. Inputs and results'!$C$23+1),M22/((1+$P$2)^A22)," ")</f>
        <v>3593.6127209623914</v>
      </c>
      <c r="O22" s="4">
        <f>IF(A22&lt;('2. Inputs and results'!$C$23+1),'2. Inputs and results'!$C$75*'2. Inputs and results'!$C$77+O21," ")</f>
        <v>707000</v>
      </c>
      <c r="P22" s="4">
        <f>IF(A22&lt;('2. Inputs and results'!$C$23+1),(G22+I22+H22+J22)/((1+$P$2)^A22)," ")</f>
        <v>74727.714205401164</v>
      </c>
      <c r="Q22" s="4">
        <f>IF(A22&lt;('2. Inputs and results'!$C$23+1),Q21+P22," ")</f>
        <v>1095568.852886261</v>
      </c>
      <c r="R22" s="4">
        <f>IF(A22&lt;('2. Inputs and results'!$C$23+1),R21+G22+I22+H22+J22+T22-$V$6,NA())</f>
        <v>829568.55196898361</v>
      </c>
      <c r="S22" s="4">
        <f>IF(A22&lt;('2. Inputs and results'!$C$23+1),'2. Inputs and results'!$C$81*(R21)," ")</f>
        <v>13820.128008729891</v>
      </c>
      <c r="T22" s="4">
        <f t="shared" si="1"/>
        <v>0</v>
      </c>
      <c r="U22" s="4">
        <f>IF(A22&lt;('2. Inputs and results'!$C$23+1),U21+((G22+I22+H22+J22-$V$6+T22)/((1+$P$2)^A22)),NA())</f>
        <v>353163.08235468081</v>
      </c>
      <c r="V22" s="4">
        <f>IF(A22&lt;('2. Inputs and results'!$C$23+1),V21+('2. Inputs and results'!$C$77*'2. Inputs and results'!$C$75)," ")</f>
        <v>119000</v>
      </c>
      <c r="W22" s="4">
        <f>IF(A22&lt;('2. Inputs and results'!$C$23+1),W21+C22+Y22-$V$6,NA())</f>
        <v>169299.2250807145</v>
      </c>
      <c r="X22" s="4">
        <f>IF(A22&lt;('2. Inputs and results'!$C$23+1),'2. Inputs and results'!$C$81*(W21)," ")</f>
        <v>2379.9845016142899</v>
      </c>
      <c r="Y22" s="4">
        <f t="shared" si="2"/>
        <v>0</v>
      </c>
      <c r="Z22" s="4">
        <f>IF(A22&lt;('2. Inputs and results'!$C$23+1),Z21+((C22-$V$6+Y22)/((1+$P$2)^A22)),NA())</f>
        <v>-57366.867334365641</v>
      </c>
      <c r="AA22" s="4">
        <f>IF(A22&lt;('2. Inputs and results'!$C$23+1),AA21+G22+I22+H22+T22-$V$6," ")</f>
        <v>1424568.5519689836</v>
      </c>
      <c r="AB22" s="11">
        <f>IF(A22&lt;('2. Inputs and results'!$C$23+1),AA22/L22,NA())</f>
        <v>2.3942328604520733</v>
      </c>
      <c r="AC22" s="12">
        <f>IF(A22&lt;('2. Inputs and results'!$C$23+1),AC21+C22+Y22-$V$6," ")</f>
        <v>764299.22508071456</v>
      </c>
      <c r="AD22" s="11">
        <f>IF(A22&lt;('2. Inputs and results'!$C$23+1),AC22/L22,NA())</f>
        <v>1.2845365127406967</v>
      </c>
      <c r="AE22">
        <f>IF(A22&lt;('2. Inputs and results'!$C$23+1),-'2. Inputs and results'!$C$124*A22," ")</f>
        <v>-1734000</v>
      </c>
      <c r="AF22">
        <f>IF(A22&lt;('2. Inputs and results'!$C$23+1),AE22/1000,NA())</f>
        <v>-1734</v>
      </c>
    </row>
    <row r="23" spans="1:32">
      <c r="A23">
        <f t="shared" si="0"/>
        <v>18</v>
      </c>
      <c r="B23">
        <f>IF(A23&lt;('2. Inputs and results'!$C$23+1),A23," ")</f>
        <v>18</v>
      </c>
      <c r="C23" s="4">
        <f>IF(A23&lt;('2. Inputs and results'!$C$23+1),'2. Inputs and results'!$C$101+'2. Inputs and results'!$C$103," ")</f>
        <v>57300</v>
      </c>
      <c r="D23" s="4">
        <f>IF(A23&lt;('2. Inputs and results'!$C$23+1),D22+C23,NA())</f>
        <v>1031400</v>
      </c>
      <c r="E23" s="4">
        <f>IF(A23&lt;('2. Inputs and results'!$C$23+1),C23/((1+$P$2)^A23)," ")</f>
        <v>28284.891333948493</v>
      </c>
      <c r="F23" s="4">
        <f>IF(B23&lt;('2. Inputs and results'!$C$23+1),F22+E23," ")</f>
        <v>725377.71665128681</v>
      </c>
      <c r="G23" s="4">
        <f>IF(A23&lt;('2. Inputs and results'!$C$23+1),G22*(1+'2. Inputs and results'!$C$48)," ")</f>
        <v>157527.20796735864</v>
      </c>
      <c r="H23" s="4">
        <f>IF(A23&lt;('2. Inputs and results'!$C$23+1),H22*(1+'2. Inputs and results'!$C$60)," ")</f>
        <v>0</v>
      </c>
      <c r="I23" s="4">
        <f>IF(A23&lt;('2. Inputs and results'!$C$23+1),I22*(1+'2. Inputs and results'!$C$36)," ")</f>
        <v>-3231.3273429201768</v>
      </c>
      <c r="J23" s="4">
        <f>IF(A23&lt;('2. Inputs and results'!$C$23+1),J22*(1+'2. Inputs and results'!$C$70)," ")</f>
        <v>0</v>
      </c>
      <c r="K23" s="4">
        <f>IF(A23&lt;('2. Inputs and results'!$C$23+1),K22+(G23+I23+H23+J23),NA())</f>
        <v>1770893.8910317444</v>
      </c>
      <c r="L23" s="4">
        <f>IF(A23&lt;('2. Inputs and results'!$C$23+1),L22,NA())</f>
        <v>595000</v>
      </c>
      <c r="M23" s="4">
        <f>IF(A23&lt;('2. Inputs and results'!$C$23+1),'2. Inputs and results'!$C$77*'2. Inputs and results'!$C$75," ")</f>
        <v>7000</v>
      </c>
      <c r="N23" s="4">
        <f>IF(A23&lt;('2. Inputs and results'!$C$23+1),M23/((1+$P$2)^A23)," ")</f>
        <v>3455.3968470792224</v>
      </c>
      <c r="O23" s="4">
        <f>IF(A23&lt;('2. Inputs and results'!$C$23+1),'2. Inputs and results'!$C$75*'2. Inputs and results'!$C$77+O22," ")</f>
        <v>714000</v>
      </c>
      <c r="P23" s="4">
        <f>IF(A23&lt;('2. Inputs and results'!$C$23+1),(G23+I23+H23+J23)/((1+$P$2)^A23)," ")</f>
        <v>76164.785632428102</v>
      </c>
      <c r="Q23" s="4">
        <f>IF(A23&lt;('2. Inputs and results'!$C$23+1),Q22+P23," ")</f>
        <v>1171733.638518689</v>
      </c>
      <c r="R23" s="4">
        <f>IF(A23&lt;('2. Inputs and results'!$C$23+1),R22+G23+I23+H23+J23+T23-$V$6,NA())</f>
        <v>976864.43259342213</v>
      </c>
      <c r="S23" s="4">
        <f>IF(A23&lt;('2. Inputs and results'!$C$23+1),'2. Inputs and results'!$C$81*(R22)," ")</f>
        <v>16591.371039379672</v>
      </c>
      <c r="T23" s="4">
        <f t="shared" si="1"/>
        <v>0</v>
      </c>
      <c r="U23" s="4">
        <f>IF(A23&lt;('2. Inputs and results'!$C$23+1),U22+((G23+I23+H23+J23-$V$6+T23)/((1+$P$2)^A23)),NA())</f>
        <v>425872.47114002972</v>
      </c>
      <c r="V23" s="4">
        <f>IF(A23&lt;('2. Inputs and results'!$C$23+1),V22+('2. Inputs and results'!$C$77*'2. Inputs and results'!$C$75)," ")</f>
        <v>126000</v>
      </c>
      <c r="W23" s="4">
        <f>IF(A23&lt;('2. Inputs and results'!$C$23+1),W22+C23+Y23-$V$6,NA())</f>
        <v>219599.2250807145</v>
      </c>
      <c r="X23" s="4">
        <f>IF(A23&lt;('2. Inputs and results'!$C$23+1),'2. Inputs and results'!$C$81*(W22)," ")</f>
        <v>3385.9845016142899</v>
      </c>
      <c r="Y23" s="4">
        <f t="shared" si="2"/>
        <v>0</v>
      </c>
      <c r="Z23" s="4">
        <f>IF(A23&lt;('2. Inputs and results'!$C$23+1),Z22+((C23-$V$6+Y23)/((1+$P$2)^A23)),NA())</f>
        <v>-32537.372847496372</v>
      </c>
      <c r="AA23" s="4">
        <f>IF(A23&lt;('2. Inputs and results'!$C$23+1),AA22+G23+I23+H23+T23-$V$6," ")</f>
        <v>1571864.432593422</v>
      </c>
      <c r="AB23" s="11">
        <f>IF(A23&lt;('2. Inputs and results'!$C$23+1),AA23/L23,NA())</f>
        <v>2.6417889623418858</v>
      </c>
      <c r="AC23" s="12">
        <f>IF(A23&lt;('2. Inputs and results'!$C$23+1),AC22+C23+Y23-$V$6," ")</f>
        <v>814599.22508071456</v>
      </c>
      <c r="AD23" s="11">
        <f>IF(A23&lt;('2. Inputs and results'!$C$23+1),AC23/L23,NA())</f>
        <v>1.3690743278667472</v>
      </c>
      <c r="AE23">
        <f>IF(A23&lt;('2. Inputs and results'!$C$23+1),-'2. Inputs and results'!$C$124*A23," ")</f>
        <v>-1836000</v>
      </c>
      <c r="AF23">
        <f>IF(A23&lt;('2. Inputs and results'!$C$23+1),AE23/1000,NA())</f>
        <v>-1836</v>
      </c>
    </row>
    <row r="24" spans="1:32">
      <c r="A24">
        <f t="shared" si="0"/>
        <v>19</v>
      </c>
      <c r="B24">
        <f>IF(A24&lt;('2. Inputs and results'!$C$23+1),A24," ")</f>
        <v>19</v>
      </c>
      <c r="C24" s="4">
        <f>IF(A24&lt;('2. Inputs and results'!$C$23+1),'2. Inputs and results'!$C$101+'2. Inputs and results'!$C$103," ")</f>
        <v>57300</v>
      </c>
      <c r="D24" s="4">
        <f>IF(A24&lt;('2. Inputs and results'!$C$23+1),D23+C24,NA())</f>
        <v>1088700</v>
      </c>
      <c r="E24" s="4">
        <f>IF(A24&lt;('2. Inputs and results'!$C$23+1),C24/((1+$P$2)^A24)," ")</f>
        <v>27197.010898027398</v>
      </c>
      <c r="F24" s="4">
        <f>IF(B24&lt;('2. Inputs and results'!$C$23+1),F23+E24," ")</f>
        <v>752574.72754931427</v>
      </c>
      <c r="G24" s="4">
        <f>IF(A24&lt;('2. Inputs and results'!$C$23+1),G23*(1+'2. Inputs and results'!$C$48)," ")</f>
        <v>166978.84044540016</v>
      </c>
      <c r="H24" s="4">
        <f>IF(A24&lt;('2. Inputs and results'!$C$23+1),H23*(1+'2. Inputs and results'!$C$60)," ")</f>
        <v>0</v>
      </c>
      <c r="I24" s="4">
        <f>IF(A24&lt;('2. Inputs and results'!$C$23+1),I23*(1+'2. Inputs and results'!$C$36)," ")</f>
        <v>-3425.2069834953877</v>
      </c>
      <c r="J24" s="4">
        <f>IF(A24&lt;('2. Inputs and results'!$C$23+1),J23*(1+'2. Inputs and results'!$C$70)," ")</f>
        <v>0</v>
      </c>
      <c r="K24" s="4">
        <f>IF(A24&lt;('2. Inputs and results'!$C$23+1),K23+(G24+I24+H24+J24),NA())</f>
        <v>1934447.5244936491</v>
      </c>
      <c r="L24" s="4">
        <f>IF(A24&lt;('2. Inputs and results'!$C$23+1),L23,NA())</f>
        <v>595000</v>
      </c>
      <c r="M24" s="4">
        <f>IF(A24&lt;('2. Inputs and results'!$C$23+1),'2. Inputs and results'!$C$77*'2. Inputs and results'!$C$75," ")</f>
        <v>7000</v>
      </c>
      <c r="N24" s="4">
        <f>IF(A24&lt;('2. Inputs and results'!$C$23+1),M24/((1+$P$2)^A24)," ")</f>
        <v>3322.4969683454065</v>
      </c>
      <c r="O24" s="4">
        <f>IF(A24&lt;('2. Inputs and results'!$C$23+1),'2. Inputs and results'!$C$75*'2. Inputs and results'!$C$77+O23," ")</f>
        <v>721000</v>
      </c>
      <c r="P24" s="4">
        <f>IF(A24&lt;('2. Inputs and results'!$C$23+1),(G24+I24+H24+J24)/((1+$P$2)^A24)," ")</f>
        <v>77629.493048436343</v>
      </c>
      <c r="Q24" s="4">
        <f>IF(A24&lt;('2. Inputs and results'!$C$23+1),Q23+P24," ")</f>
        <v>1249363.1315671252</v>
      </c>
      <c r="R24" s="4">
        <f>IF(A24&lt;('2. Inputs and results'!$C$23+1),R23+G24+I24+H24+J24+T24-$V$6,NA())</f>
        <v>1133418.0660553267</v>
      </c>
      <c r="S24" s="4">
        <f>IF(A24&lt;('2. Inputs and results'!$C$23+1),'2. Inputs and results'!$C$81*(R23)," ")</f>
        <v>19537.288651868443</v>
      </c>
      <c r="T24" s="4">
        <f t="shared" si="1"/>
        <v>0</v>
      </c>
      <c r="U24" s="4">
        <f>IF(A24&lt;('2. Inputs and results'!$C$23+1),U23+((G24+I24+H24+J24-$V$6+T24)/((1+$P$2)^A24)),NA())</f>
        <v>500179.46722012066</v>
      </c>
      <c r="V24" s="4">
        <f>IF(A24&lt;('2. Inputs and results'!$C$23+1),V23+('2. Inputs and results'!$C$77*'2. Inputs and results'!$C$75)," ")</f>
        <v>133000</v>
      </c>
      <c r="W24" s="4">
        <f>IF(A24&lt;('2. Inputs and results'!$C$23+1),W23+C24+Y24-$V$6,NA())</f>
        <v>269899.2250807145</v>
      </c>
      <c r="X24" s="4">
        <f>IF(A24&lt;('2. Inputs and results'!$C$23+1),'2. Inputs and results'!$C$81*(W23)," ")</f>
        <v>4391.9845016142899</v>
      </c>
      <c r="Y24" s="4">
        <f t="shared" si="2"/>
        <v>0</v>
      </c>
      <c r="Z24" s="4">
        <f>IF(A24&lt;('2. Inputs and results'!$C$23+1),Z23+((C24-$V$6+Y24)/((1+$P$2)^A24)),NA())</f>
        <v>-8662.8589178143811</v>
      </c>
      <c r="AA24" s="4">
        <f>IF(A24&lt;('2. Inputs and results'!$C$23+1),AA23+G24+I24+H24+T24-$V$6," ")</f>
        <v>1728418.0660553267</v>
      </c>
      <c r="AB24" s="11">
        <f>IF(A24&lt;('2. Inputs and results'!$C$23+1),AA24/L24,NA())</f>
        <v>2.9049043126980281</v>
      </c>
      <c r="AC24" s="12">
        <f>IF(A24&lt;('2. Inputs and results'!$C$23+1),AC23+C24+Y24-$V$6," ")</f>
        <v>864899.22508071456</v>
      </c>
      <c r="AD24" s="11">
        <f>IF(A24&lt;('2. Inputs and results'!$C$23+1),AC24/L24,NA())</f>
        <v>1.4536121429927975</v>
      </c>
      <c r="AE24">
        <f>IF(A24&lt;('2. Inputs and results'!$C$23+1),-'2. Inputs and results'!$C$124*A24," ")</f>
        <v>-1938000</v>
      </c>
      <c r="AF24">
        <f>IF(A24&lt;('2. Inputs and results'!$C$23+1),AE24/1000,NA())</f>
        <v>-1938</v>
      </c>
    </row>
    <row r="25" spans="1:32">
      <c r="A25">
        <f t="shared" si="0"/>
        <v>20</v>
      </c>
      <c r="B25">
        <f>IF(A25&lt;('2. Inputs and results'!$C$23+1),A25," ")</f>
        <v>20</v>
      </c>
      <c r="C25" s="4">
        <f>IF(A25&lt;('2. Inputs and results'!$C$23+1),'2. Inputs and results'!$C$101+'2. Inputs and results'!$C$103," ")</f>
        <v>57300</v>
      </c>
      <c r="D25" s="4">
        <f>IF(A25&lt;('2. Inputs and results'!$C$23+1),D24+C25,NA())</f>
        <v>1146000</v>
      </c>
      <c r="E25" s="4">
        <f>IF(A25&lt;('2. Inputs and results'!$C$23+1),C25/((1+$P$2)^A25)," ")</f>
        <v>26150.972017334036</v>
      </c>
      <c r="F25" s="4">
        <f>IF(B25&lt;('2. Inputs and results'!$C$23+1),F24+E25," ")</f>
        <v>778725.69956664834</v>
      </c>
      <c r="G25" s="4">
        <f>IF(A25&lt;('2. Inputs and results'!$C$23+1),G24*(1+'2. Inputs and results'!$C$48)," ")</f>
        <v>176997.57087212417</v>
      </c>
      <c r="H25" s="4">
        <f>IF(A25&lt;('2. Inputs and results'!$C$23+1),H24*(1+'2. Inputs and results'!$C$60)," ")</f>
        <v>0</v>
      </c>
      <c r="I25" s="4">
        <f>IF(A25&lt;('2. Inputs and results'!$C$23+1),I24*(1+'2. Inputs and results'!$C$36)," ")</f>
        <v>-3630.7194025051112</v>
      </c>
      <c r="J25" s="4">
        <f>IF(A25&lt;('2. Inputs and results'!$C$23+1),J24*(1+'2. Inputs and results'!$C$70)," ")</f>
        <v>0</v>
      </c>
      <c r="K25" s="4">
        <f>IF(A25&lt;('2. Inputs and results'!$C$23+1),K24+(G25+I25+H25+J25),NA())</f>
        <v>2107814.3759632683</v>
      </c>
      <c r="L25" s="4">
        <f>IF(A25&lt;('2. Inputs and results'!$C$23+1),L24,NA())</f>
        <v>595000</v>
      </c>
      <c r="M25" s="4">
        <f>IF(A25&lt;('2. Inputs and results'!$C$23+1),'2. Inputs and results'!$C$77*'2. Inputs and results'!$C$75," ")</f>
        <v>7000</v>
      </c>
      <c r="N25" s="4">
        <f>IF(A25&lt;('2. Inputs and results'!$C$23+1),M25/((1+$P$2)^A25)," ")</f>
        <v>3194.7086234090443</v>
      </c>
      <c r="O25" s="4">
        <f>IF(A25&lt;('2. Inputs and results'!$C$23+1),'2. Inputs and results'!$C$75*'2. Inputs and results'!$C$77+O24," ")</f>
        <v>728000</v>
      </c>
      <c r="P25" s="4">
        <f>IF(A25&lt;('2. Inputs and results'!$C$23+1),(G25+I25+H25+J25)/((1+$P$2)^A25)," ")</f>
        <v>79122.367914752424</v>
      </c>
      <c r="Q25" s="4">
        <f>IF(A25&lt;('2. Inputs and results'!$C$23+1),Q24+P25," ")</f>
        <v>1328485.4994818775</v>
      </c>
      <c r="R25" s="4">
        <f>IF(A25&lt;('2. Inputs and results'!$C$23+1),R24+G25+I25+H25+J25+T25-$V$6,NA())</f>
        <v>1299784.9175249459</v>
      </c>
      <c r="S25" s="4">
        <f>IF(A25&lt;('2. Inputs and results'!$C$23+1),'2. Inputs and results'!$C$81*(R24)," ")</f>
        <v>22668.361321106535</v>
      </c>
      <c r="T25" s="4">
        <f t="shared" si="1"/>
        <v>0</v>
      </c>
      <c r="U25" s="4">
        <f>IF(A25&lt;('2. Inputs and results'!$C$23+1),U24+((G25+I25+H25+J25-$V$6+T25)/((1+$P$2)^A25)),NA())</f>
        <v>576107.12651146401</v>
      </c>
      <c r="V25" s="4">
        <f>IF(A25&lt;('2. Inputs and results'!$C$23+1),V24+('2. Inputs and results'!$C$77*'2. Inputs and results'!$C$75)," ")</f>
        <v>140000</v>
      </c>
      <c r="W25" s="4">
        <f>IF(A25&lt;('2. Inputs and results'!$C$23+1),W24+C25+Y25-$V$6,NA())</f>
        <v>320199.2250807145</v>
      </c>
      <c r="X25" s="4">
        <f>IF(A25&lt;('2. Inputs and results'!$C$23+1),'2. Inputs and results'!$C$81*(W24)," ")</f>
        <v>5397.9845016142899</v>
      </c>
      <c r="Y25" s="4">
        <f t="shared" si="2"/>
        <v>0</v>
      </c>
      <c r="Z25" s="4">
        <f>IF(A25&lt;('2. Inputs and results'!$C$23+1),Z24+((C25-$V$6+Y25)/((1+$P$2)^A25)),NA())</f>
        <v>14293.404476110609</v>
      </c>
      <c r="AA25" s="4">
        <f>IF(A25&lt;('2. Inputs and results'!$C$23+1),AA24+G25+I25+H25+T25-$V$6," ")</f>
        <v>1894784.9175249459</v>
      </c>
      <c r="AB25" s="11">
        <f>IF(A25&lt;('2. Inputs and results'!$C$23+1),AA25/L25,NA())</f>
        <v>3.1845124664284805</v>
      </c>
      <c r="AC25" s="12">
        <f>IF(A25&lt;('2. Inputs and results'!$C$23+1),AC24+C25+Y25-$V$6," ")</f>
        <v>915199.22508071456</v>
      </c>
      <c r="AD25" s="11">
        <f>IF(A25&lt;('2. Inputs and results'!$C$23+1),AC25/L25,NA())</f>
        <v>1.538149958118848</v>
      </c>
      <c r="AE25">
        <f>IF(A25&lt;('2. Inputs and results'!$C$23+1),-'2. Inputs and results'!$C$124*A25," ")</f>
        <v>-2040000</v>
      </c>
      <c r="AF25">
        <f>IF(A25&lt;('2. Inputs and results'!$C$23+1),AE25/1000,NA())</f>
        <v>-2040</v>
      </c>
    </row>
    <row r="26" spans="1:32">
      <c r="A26">
        <f t="shared" si="0"/>
        <v>21</v>
      </c>
      <c r="B26" t="str">
        <f>IF(A26&lt;('2. Inputs and results'!$C$23+1),A26," ")</f>
        <v xml:space="preserve"> </v>
      </c>
      <c r="C26" s="4" t="str">
        <f>IF(A26&lt;('2. Inputs and results'!$C$23+1),'2. Inputs and results'!$C$101+'2. Inputs and results'!$C$103," ")</f>
        <v xml:space="preserve"> </v>
      </c>
      <c r="D26" s="4" t="e">
        <f>IF(A26&lt;('2. Inputs and results'!$C$23+1),D25+C26,NA())</f>
        <v>#N/A</v>
      </c>
      <c r="E26" s="4" t="str">
        <f>IF(A26&lt;('2. Inputs and results'!$C$23+1),C26/((1+$P$2)^A26)," ")</f>
        <v xml:space="preserve"> </v>
      </c>
      <c r="F26" s="4" t="str">
        <f>IF(B26&lt;('2. Inputs and results'!$C$23+1),F25+E26," ")</f>
        <v xml:space="preserve"> </v>
      </c>
      <c r="G26" s="4" t="str">
        <f>IF(A26&lt;('2. Inputs and results'!$C$23+1),G25*(1+'2. Inputs and results'!$C$48)," ")</f>
        <v xml:space="preserve"> </v>
      </c>
      <c r="H26" s="4" t="str">
        <f>IF(A26&lt;('2. Inputs and results'!$C$23+1),H25*(1+'2. Inputs and results'!$C$60)," ")</f>
        <v xml:space="preserve"> </v>
      </c>
      <c r="I26" s="4" t="str">
        <f>IF(A26&lt;('2. Inputs and results'!$C$23+1),I25*(1+'2. Inputs and results'!$C$36)," ")</f>
        <v xml:space="preserve"> </v>
      </c>
      <c r="J26" s="4" t="str">
        <f>IF(A26&lt;('2. Inputs and results'!$C$23+1),J25*(1+'2. Inputs and results'!$C$70)," ")</f>
        <v xml:space="preserve"> </v>
      </c>
      <c r="K26" s="4" t="e">
        <f>IF(A26&lt;('2. Inputs and results'!$C$23+1),K25+(G26+I26+H26+J26),NA())</f>
        <v>#N/A</v>
      </c>
      <c r="L26" s="4" t="e">
        <f>IF(A26&lt;('2. Inputs and results'!$C$23+1),L25,NA())</f>
        <v>#N/A</v>
      </c>
      <c r="M26" s="4" t="str">
        <f>IF(A26&lt;('2. Inputs and results'!$C$23+1),'2. Inputs and results'!$C$77*'2. Inputs and results'!$C$75," ")</f>
        <v xml:space="preserve"> </v>
      </c>
      <c r="N26" s="4" t="str">
        <f>IF(A26&lt;('2. Inputs and results'!$C$23+1),M26/((1+$P$2)^A26)," ")</f>
        <v xml:space="preserve"> </v>
      </c>
      <c r="O26" s="4" t="str">
        <f>IF(A26&lt;('2. Inputs and results'!$C$23+1),'2. Inputs and results'!$C$75*'2. Inputs and results'!$C$77+O25," ")</f>
        <v xml:space="preserve"> </v>
      </c>
      <c r="P26" s="4" t="str">
        <f>IF(A26&lt;('2. Inputs and results'!$C$23+1),(G26+I26+H26+J26)/((1+$P$2)^A26)," ")</f>
        <v xml:space="preserve"> </v>
      </c>
      <c r="Q26" s="4" t="str">
        <f>IF(A26&lt;('2. Inputs and results'!$C$23+1),Q25+P26," ")</f>
        <v xml:space="preserve"> </v>
      </c>
      <c r="R26" s="4" t="e">
        <f>IF(A26&lt;('2. Inputs and results'!$C$23+1),R25+G26+I26+H26+J26+T26-$V$6,NA())</f>
        <v>#N/A</v>
      </c>
      <c r="S26" s="4" t="str">
        <f>IF(A26&lt;('2. Inputs and results'!$C$23+1),'2. Inputs and results'!$C$81*(R25)," ")</f>
        <v xml:space="preserve"> </v>
      </c>
      <c r="T26" s="4">
        <f t="shared" si="1"/>
        <v>0</v>
      </c>
      <c r="U26" s="4" t="e">
        <f>IF(A26&lt;('2. Inputs and results'!$C$23+1),U25+((G26+I26+H26+J26-$V$6+T26)/((1+$P$2)^A26)),NA())</f>
        <v>#N/A</v>
      </c>
      <c r="V26" s="4" t="str">
        <f>IF(A26&lt;('2. Inputs and results'!$C$23+1),V25+('2. Inputs and results'!$C$77*'2. Inputs and results'!$C$75)," ")</f>
        <v xml:space="preserve"> </v>
      </c>
      <c r="W26" s="4" t="e">
        <f>IF(A26&lt;('2. Inputs and results'!$C$23+1),W25+C26+Y26-$V$6,NA())</f>
        <v>#N/A</v>
      </c>
      <c r="X26" s="4" t="str">
        <f>IF(A26&lt;('2. Inputs and results'!$C$23+1),'2. Inputs and results'!$C$81*(W25)," ")</f>
        <v xml:space="preserve"> </v>
      </c>
      <c r="Y26" s="4">
        <f t="shared" si="2"/>
        <v>0</v>
      </c>
      <c r="Z26" s="4" t="e">
        <f>IF(A26&lt;('2. Inputs and results'!$C$23+1),Z25+((C26-$V$6+Y26)/((1+$P$2)^A26)),NA())</f>
        <v>#N/A</v>
      </c>
      <c r="AA26" s="4" t="str">
        <f>IF(A26&lt;('2. Inputs and results'!$C$23+1),AA25+G26+I26+H26+T26-$V$6," ")</f>
        <v xml:space="preserve"> </v>
      </c>
      <c r="AB26" s="11" t="e">
        <f>IF(A26&lt;('2. Inputs and results'!$C$23+1),AA26/L26,NA())</f>
        <v>#N/A</v>
      </c>
      <c r="AC26" s="12" t="str">
        <f>IF(A26&lt;('2. Inputs and results'!$C$23+1),AC25+C26+Y26-$V$6," ")</f>
        <v xml:space="preserve"> </v>
      </c>
      <c r="AD26" s="11" t="e">
        <f>IF(A26&lt;('2. Inputs and results'!$C$23+1),AC26/L26,NA())</f>
        <v>#N/A</v>
      </c>
      <c r="AE26" t="str">
        <f>IF(A26&lt;('2. Inputs and results'!$C$23+1),-'2. Inputs and results'!$C$124*A26," ")</f>
        <v xml:space="preserve"> </v>
      </c>
      <c r="AF26" t="e">
        <f>IF(A26&lt;('2. Inputs and results'!$C$23+1),AE26/1000,NA())</f>
        <v>#N/A</v>
      </c>
    </row>
    <row r="27" spans="1:32">
      <c r="A27">
        <f t="shared" si="0"/>
        <v>22</v>
      </c>
      <c r="B27" t="str">
        <f>IF(A27&lt;('2. Inputs and results'!$C$23+1),A27," ")</f>
        <v xml:space="preserve"> </v>
      </c>
      <c r="C27" s="4" t="str">
        <f>IF(A27&lt;('2. Inputs and results'!$C$23+1),'2. Inputs and results'!$C$101+'2. Inputs and results'!$C$103," ")</f>
        <v xml:space="preserve"> </v>
      </c>
      <c r="D27" s="4" t="e">
        <f>IF(A27&lt;('2. Inputs and results'!$C$23+1),D26+C27,NA())</f>
        <v>#N/A</v>
      </c>
      <c r="E27" s="4" t="str">
        <f>IF(A27&lt;('2. Inputs and results'!$C$23+1),C27/((1+$P$2)^A27)," ")</f>
        <v xml:space="preserve"> </v>
      </c>
      <c r="F27" s="4" t="str">
        <f>IF(B27&lt;('2. Inputs and results'!$C$23+1),F26+E27," ")</f>
        <v xml:space="preserve"> </v>
      </c>
      <c r="G27" s="4" t="str">
        <f>IF(A27&lt;('2. Inputs and results'!$C$23+1),G26*(1+'2. Inputs and results'!$C$48)," ")</f>
        <v xml:space="preserve"> </v>
      </c>
      <c r="H27" s="4" t="str">
        <f>IF(A27&lt;('2. Inputs and results'!$C$23+1),H26*(1+'2. Inputs and results'!$C$60)," ")</f>
        <v xml:space="preserve"> </v>
      </c>
      <c r="I27" s="4" t="str">
        <f>IF(A27&lt;('2. Inputs and results'!$C$23+1),I26*(1+'2. Inputs and results'!$C$36)," ")</f>
        <v xml:space="preserve"> </v>
      </c>
      <c r="J27" s="4" t="str">
        <f>IF(A27&lt;('2. Inputs and results'!$C$23+1),J26*(1+'2. Inputs and results'!$C$70)," ")</f>
        <v xml:space="preserve"> </v>
      </c>
      <c r="K27" s="4" t="e">
        <f>IF(A27&lt;('2. Inputs and results'!$C$23+1),K26+(G27+I27+H27+J27),NA())</f>
        <v>#N/A</v>
      </c>
      <c r="L27" s="4" t="e">
        <f>IF(A27&lt;('2. Inputs and results'!$C$23+1),L26,NA())</f>
        <v>#N/A</v>
      </c>
      <c r="M27" s="4" t="str">
        <f>IF(A27&lt;('2. Inputs and results'!$C$23+1),'2. Inputs and results'!$C$77*'2. Inputs and results'!$C$75," ")</f>
        <v xml:space="preserve"> </v>
      </c>
      <c r="N27" s="4" t="str">
        <f>IF(A27&lt;('2. Inputs and results'!$C$23+1),M27/((1+$P$2)^A27)," ")</f>
        <v xml:space="preserve"> </v>
      </c>
      <c r="O27" s="4" t="str">
        <f>IF(A27&lt;('2. Inputs and results'!$C$23+1),'2. Inputs and results'!$C$75*'2. Inputs and results'!$C$77+O26," ")</f>
        <v xml:space="preserve"> </v>
      </c>
      <c r="P27" s="4" t="str">
        <f>IF(A27&lt;('2. Inputs and results'!$C$23+1),(G27+I27+H27+J27)/((1+$P$2)^A27)," ")</f>
        <v xml:space="preserve"> </v>
      </c>
      <c r="Q27" s="4" t="str">
        <f>IF(A27&lt;('2. Inputs and results'!$C$23+1),Q26+P27," ")</f>
        <v xml:space="preserve"> </v>
      </c>
      <c r="R27" s="4" t="e">
        <f>IF(A27&lt;('2. Inputs and results'!$C$23+1),R26+G27+I27+H27+J27+T27-$V$6,NA())</f>
        <v>#N/A</v>
      </c>
      <c r="S27" s="4" t="str">
        <f>IF(A27&lt;('2. Inputs and results'!$C$23+1),'2. Inputs and results'!$C$81*(R26)," ")</f>
        <v xml:space="preserve"> </v>
      </c>
      <c r="T27" s="4">
        <f t="shared" si="1"/>
        <v>0</v>
      </c>
      <c r="U27" s="4" t="e">
        <f>IF(A27&lt;('2. Inputs and results'!$C$23+1),U26+((G27+I27+H27+J27-$V$6+T27)/((1+$P$2)^A27)),NA())</f>
        <v>#N/A</v>
      </c>
      <c r="V27" s="4" t="str">
        <f>IF(A27&lt;('2. Inputs and results'!$C$23+1),V26+('2. Inputs and results'!$C$77*'2. Inputs and results'!$C$75)," ")</f>
        <v xml:space="preserve"> </v>
      </c>
      <c r="W27" s="4" t="e">
        <f>IF(A27&lt;('2. Inputs and results'!$C$23+1),W26+C27+Y27-$V$6,NA())</f>
        <v>#N/A</v>
      </c>
      <c r="X27" s="4" t="str">
        <f>IF(A27&lt;('2. Inputs and results'!$C$23+1),'2. Inputs and results'!$C$81*(W26)," ")</f>
        <v xml:space="preserve"> </v>
      </c>
      <c r="Y27" s="4">
        <f t="shared" si="2"/>
        <v>0</v>
      </c>
      <c r="Z27" s="4" t="e">
        <f>IF(A27&lt;('2. Inputs and results'!$C$23+1),Z26+((C27-$V$6+Y27)/((1+$P$2)^A27)),NA())</f>
        <v>#N/A</v>
      </c>
      <c r="AA27" s="4" t="str">
        <f>IF(A27&lt;('2. Inputs and results'!$C$23+1),AA26+G27+I27+H27+T27-$V$6," ")</f>
        <v xml:space="preserve"> </v>
      </c>
      <c r="AB27" s="11" t="e">
        <f>IF(A27&lt;('2. Inputs and results'!$C$23+1),AA27/L27,NA())</f>
        <v>#N/A</v>
      </c>
      <c r="AC27" s="12" t="str">
        <f>IF(A27&lt;('2. Inputs and results'!$C$23+1),AC26+C27+Y27-$V$6," ")</f>
        <v xml:space="preserve"> </v>
      </c>
      <c r="AD27" s="11" t="e">
        <f>IF(A27&lt;('2. Inputs and results'!$C$23+1),AC27/L27,NA())</f>
        <v>#N/A</v>
      </c>
      <c r="AE27" t="str">
        <f>IF(A27&lt;('2. Inputs and results'!$C$23+1),-'2. Inputs and results'!$C$124*A27," ")</f>
        <v xml:space="preserve"> </v>
      </c>
      <c r="AF27" t="e">
        <f>IF(A27&lt;('2. Inputs and results'!$C$23+1),AE27/1000,NA())</f>
        <v>#N/A</v>
      </c>
    </row>
    <row r="28" spans="1:32">
      <c r="A28">
        <f t="shared" si="0"/>
        <v>23</v>
      </c>
      <c r="B28" t="str">
        <f>IF(A28&lt;('2. Inputs and results'!$C$23+1),A28," ")</f>
        <v xml:space="preserve"> </v>
      </c>
      <c r="C28" s="4" t="str">
        <f>IF(A28&lt;('2. Inputs and results'!$C$23+1),'2. Inputs and results'!$C$101+'2. Inputs and results'!$C$103," ")</f>
        <v xml:space="preserve"> </v>
      </c>
      <c r="D28" s="4" t="e">
        <f>IF(A28&lt;('2. Inputs and results'!$C$23+1),D27+C28,NA())</f>
        <v>#N/A</v>
      </c>
      <c r="E28" s="4" t="str">
        <f>IF(A28&lt;('2. Inputs and results'!$C$23+1),C28/((1+$P$2)^A28)," ")</f>
        <v xml:space="preserve"> </v>
      </c>
      <c r="F28" s="4" t="str">
        <f>IF(B28&lt;('2. Inputs and results'!$C$23+1),F27+E28," ")</f>
        <v xml:space="preserve"> </v>
      </c>
      <c r="G28" s="4" t="str">
        <f>IF(A28&lt;('2. Inputs and results'!$C$23+1),G27*(1+'2. Inputs and results'!$C$48)," ")</f>
        <v xml:space="preserve"> </v>
      </c>
      <c r="H28" s="4" t="str">
        <f>IF(A28&lt;('2. Inputs and results'!$C$23+1),H27*(1+'2. Inputs and results'!$C$60)," ")</f>
        <v xml:space="preserve"> </v>
      </c>
      <c r="I28" s="4" t="str">
        <f>IF(A28&lt;('2. Inputs and results'!$C$23+1),I27*(1+'2. Inputs and results'!$C$36)," ")</f>
        <v xml:space="preserve"> </v>
      </c>
      <c r="J28" s="4" t="str">
        <f>IF(A28&lt;('2. Inputs and results'!$C$23+1),J27*(1+'2. Inputs and results'!$C$70)," ")</f>
        <v xml:space="preserve"> </v>
      </c>
      <c r="K28" s="4" t="e">
        <f>IF(A28&lt;('2. Inputs and results'!$C$23+1),K27+(G28+I28+H28+J28),NA())</f>
        <v>#N/A</v>
      </c>
      <c r="L28" s="4" t="e">
        <f>IF(A28&lt;('2. Inputs and results'!$C$23+1),L27,NA())</f>
        <v>#N/A</v>
      </c>
      <c r="M28" s="4" t="str">
        <f>IF(A28&lt;('2. Inputs and results'!$C$23+1),'2. Inputs and results'!$C$77*'2. Inputs and results'!$C$75," ")</f>
        <v xml:space="preserve"> </v>
      </c>
      <c r="N28" s="4" t="str">
        <f>IF(A28&lt;('2. Inputs and results'!$C$23+1),M28/((1+$P$2)^A28)," ")</f>
        <v xml:space="preserve"> </v>
      </c>
      <c r="O28" s="4" t="str">
        <f>IF(A28&lt;('2. Inputs and results'!$C$23+1),'2. Inputs and results'!$C$75*'2. Inputs and results'!$C$77+O27," ")</f>
        <v xml:space="preserve"> </v>
      </c>
      <c r="P28" s="4" t="str">
        <f>IF(A28&lt;('2. Inputs and results'!$C$23+1),(G28+I28+H28+J28)/((1+$P$2)^A28)," ")</f>
        <v xml:space="preserve"> </v>
      </c>
      <c r="Q28" s="4" t="str">
        <f>IF(A28&lt;('2. Inputs and results'!$C$23+1),Q27+P28," ")</f>
        <v xml:space="preserve"> </v>
      </c>
      <c r="R28" s="4" t="e">
        <f>IF(A28&lt;('2. Inputs and results'!$C$23+1),R27+G28+I28+H28+J28+T28-$V$6,NA())</f>
        <v>#N/A</v>
      </c>
      <c r="S28" s="4" t="str">
        <f>IF(A28&lt;('2. Inputs and results'!$C$23+1),'2. Inputs and results'!$C$81*(R27)," ")</f>
        <v xml:space="preserve"> </v>
      </c>
      <c r="T28" s="4">
        <f t="shared" si="1"/>
        <v>0</v>
      </c>
      <c r="U28" s="4" t="e">
        <f>IF(A28&lt;('2. Inputs and results'!$C$23+1),U27+((G28+I28+H28+J28-$V$6+T28)/((1+$P$2)^A28)),NA())</f>
        <v>#N/A</v>
      </c>
      <c r="V28" s="4" t="str">
        <f>IF(A28&lt;('2. Inputs and results'!$C$23+1),V27+('2. Inputs and results'!$C$77*'2. Inputs and results'!$C$75)," ")</f>
        <v xml:space="preserve"> </v>
      </c>
      <c r="W28" s="4" t="e">
        <f>IF(A28&lt;('2. Inputs and results'!$C$23+1),W27+C28+Y28-$V$6,NA())</f>
        <v>#N/A</v>
      </c>
      <c r="X28" s="4" t="str">
        <f>IF(A28&lt;('2. Inputs and results'!$C$23+1),'2. Inputs and results'!$C$81*(W27)," ")</f>
        <v xml:space="preserve"> </v>
      </c>
      <c r="Y28" s="4">
        <f t="shared" si="2"/>
        <v>0</v>
      </c>
      <c r="Z28" s="4" t="e">
        <f>IF(A28&lt;('2. Inputs and results'!$C$23+1),Z27+((C28-$V$6+Y28)/((1+$P$2)^A28)),NA())</f>
        <v>#N/A</v>
      </c>
      <c r="AA28" s="4" t="str">
        <f>IF(A28&lt;('2. Inputs and results'!$C$23+1),AA27+G28+I28+H28+T28-$V$6," ")</f>
        <v xml:space="preserve"> </v>
      </c>
      <c r="AB28" s="11" t="e">
        <f>IF(A28&lt;('2. Inputs and results'!$C$23+1),AA28/L28,NA())</f>
        <v>#N/A</v>
      </c>
      <c r="AC28" s="12" t="str">
        <f>IF(A28&lt;('2. Inputs and results'!$C$23+1),AC27+C28+Y28-$V$6," ")</f>
        <v xml:space="preserve"> </v>
      </c>
      <c r="AD28" s="11" t="e">
        <f>IF(A28&lt;('2. Inputs and results'!$C$23+1),AC28/L28,NA())</f>
        <v>#N/A</v>
      </c>
      <c r="AE28" t="str">
        <f>IF(A28&lt;('2. Inputs and results'!$C$23+1),-'2. Inputs and results'!$C$124*A28," ")</f>
        <v xml:space="preserve"> </v>
      </c>
      <c r="AF28" t="e">
        <f>IF(A28&lt;('2. Inputs and results'!$C$23+1),AE28/1000,NA())</f>
        <v>#N/A</v>
      </c>
    </row>
    <row r="29" spans="1:32">
      <c r="A29">
        <f t="shared" si="0"/>
        <v>24</v>
      </c>
      <c r="B29" t="str">
        <f>IF(A29&lt;('2. Inputs and results'!$C$23+1),A29," ")</f>
        <v xml:space="preserve"> </v>
      </c>
      <c r="C29" s="4" t="str">
        <f>IF(A29&lt;('2. Inputs and results'!$C$23+1),'2. Inputs and results'!$C$101+'2. Inputs and results'!$C$103," ")</f>
        <v xml:space="preserve"> </v>
      </c>
      <c r="D29" s="4" t="e">
        <f>IF(A29&lt;('2. Inputs and results'!$C$23+1),D28+C29,NA())</f>
        <v>#N/A</v>
      </c>
      <c r="E29" s="4" t="str">
        <f>IF(A29&lt;('2. Inputs and results'!$C$23+1),C29/((1+$P$2)^A29)," ")</f>
        <v xml:space="preserve"> </v>
      </c>
      <c r="F29" s="4" t="str">
        <f>IF(B29&lt;('2. Inputs and results'!$C$23+1),F28+E29," ")</f>
        <v xml:space="preserve"> </v>
      </c>
      <c r="G29" s="4" t="str">
        <f>IF(A29&lt;('2. Inputs and results'!$C$23+1),G28*(1+'2. Inputs and results'!$C$48)," ")</f>
        <v xml:space="preserve"> </v>
      </c>
      <c r="H29" s="4" t="str">
        <f>IF(A29&lt;('2. Inputs and results'!$C$23+1),H28*(1+'2. Inputs and results'!$C$60)," ")</f>
        <v xml:space="preserve"> </v>
      </c>
      <c r="I29" s="4" t="str">
        <f>IF(A29&lt;('2. Inputs and results'!$C$23+1),I28*(1+'2. Inputs and results'!$C$36)," ")</f>
        <v xml:space="preserve"> </v>
      </c>
      <c r="J29" s="4" t="str">
        <f>IF(A29&lt;('2. Inputs and results'!$C$23+1),J28*(1+'2. Inputs and results'!$C$70)," ")</f>
        <v xml:space="preserve"> </v>
      </c>
      <c r="K29" s="4" t="e">
        <f>IF(A29&lt;('2. Inputs and results'!$C$23+1),K28+(G29+I29+H29+J29),NA())</f>
        <v>#N/A</v>
      </c>
      <c r="L29" s="4" t="e">
        <f>IF(A29&lt;('2. Inputs and results'!$C$23+1),L28,NA())</f>
        <v>#N/A</v>
      </c>
      <c r="M29" s="4" t="str">
        <f>IF(A29&lt;('2. Inputs and results'!$C$23+1),'2. Inputs and results'!$C$77*'2. Inputs and results'!$C$75," ")</f>
        <v xml:space="preserve"> </v>
      </c>
      <c r="N29" s="4" t="str">
        <f>IF(A29&lt;('2. Inputs and results'!$C$23+1),M29/((1+$P$2)^A29)," ")</f>
        <v xml:space="preserve"> </v>
      </c>
      <c r="O29" s="4" t="str">
        <f>IF(A29&lt;('2. Inputs and results'!$C$23+1),'2. Inputs and results'!$C$75*'2. Inputs and results'!$C$77+O28," ")</f>
        <v xml:space="preserve"> </v>
      </c>
      <c r="P29" s="4" t="str">
        <f>IF(A29&lt;('2. Inputs and results'!$C$23+1),(G29+I29+H29+J29)/((1+$P$2)^A29)," ")</f>
        <v xml:space="preserve"> </v>
      </c>
      <c r="Q29" s="4" t="str">
        <f>IF(A29&lt;('2. Inputs and results'!$C$23+1),Q28+P29," ")</f>
        <v xml:space="preserve"> </v>
      </c>
      <c r="R29" s="4" t="e">
        <f>IF(A29&lt;('2. Inputs and results'!$C$23+1),R28+G29+I29+H29+J29+T29-$V$6,NA())</f>
        <v>#N/A</v>
      </c>
      <c r="S29" s="4" t="str">
        <f>IF(A29&lt;('2. Inputs and results'!$C$23+1),'2. Inputs and results'!$C$81*(R28)," ")</f>
        <v xml:space="preserve"> </v>
      </c>
      <c r="T29" s="4">
        <f t="shared" si="1"/>
        <v>0</v>
      </c>
      <c r="U29" s="4" t="e">
        <f>IF(A29&lt;('2. Inputs and results'!$C$23+1),U28+((G29+I29+H29+J29-$V$6+T29)/((1+$P$2)^A29)),NA())</f>
        <v>#N/A</v>
      </c>
      <c r="V29" s="4" t="str">
        <f>IF(A29&lt;('2. Inputs and results'!$C$23+1),V28+('2. Inputs and results'!$C$77*'2. Inputs and results'!$C$75)," ")</f>
        <v xml:space="preserve"> </v>
      </c>
      <c r="W29" s="4" t="e">
        <f>IF(A29&lt;('2. Inputs and results'!$C$23+1),W28+C29+Y29-$V$6,NA())</f>
        <v>#N/A</v>
      </c>
      <c r="X29" s="4" t="str">
        <f>IF(A29&lt;('2. Inputs and results'!$C$23+1),'2. Inputs and results'!$C$81*(W28)," ")</f>
        <v xml:space="preserve"> </v>
      </c>
      <c r="Y29" s="4">
        <f t="shared" si="2"/>
        <v>0</v>
      </c>
      <c r="Z29" s="4" t="e">
        <f>IF(A29&lt;('2. Inputs and results'!$C$23+1),Z28+((C29-$V$6+Y29)/((1+$P$2)^A29)),NA())</f>
        <v>#N/A</v>
      </c>
      <c r="AA29" s="4" t="str">
        <f>IF(A29&lt;('2. Inputs and results'!$C$23+1),AA28+G29+I29+H29+T29-$V$6," ")</f>
        <v xml:space="preserve"> </v>
      </c>
      <c r="AB29" s="11" t="e">
        <f>IF(A29&lt;('2. Inputs and results'!$C$23+1),AA29/L29,NA())</f>
        <v>#N/A</v>
      </c>
      <c r="AC29" s="12" t="str">
        <f>IF(A29&lt;('2. Inputs and results'!$C$23+1),AC28+C29+Y29-$V$6," ")</f>
        <v xml:space="preserve"> </v>
      </c>
      <c r="AD29" s="11" t="e">
        <f>IF(A29&lt;('2. Inputs and results'!$C$23+1),AC29/L29,NA())</f>
        <v>#N/A</v>
      </c>
      <c r="AE29" t="str">
        <f>IF(A29&lt;('2. Inputs and results'!$C$23+1),-'2. Inputs and results'!$C$124*A29," ")</f>
        <v xml:space="preserve"> </v>
      </c>
      <c r="AF29" t="e">
        <f>IF(A29&lt;('2. Inputs and results'!$C$23+1),AE29/1000,NA())</f>
        <v>#N/A</v>
      </c>
    </row>
    <row r="30" spans="1:32">
      <c r="A30">
        <f t="shared" si="0"/>
        <v>25</v>
      </c>
      <c r="B30" t="str">
        <f>IF(A30&lt;('2. Inputs and results'!$C$23+1),A30," ")</f>
        <v xml:space="preserve"> </v>
      </c>
      <c r="C30" s="4" t="str">
        <f>IF(A30&lt;('2. Inputs and results'!$C$23+1),'2. Inputs and results'!$C$101+'2. Inputs and results'!$C$103," ")</f>
        <v xml:space="preserve"> </v>
      </c>
      <c r="D30" s="4" t="e">
        <f>IF(A30&lt;('2. Inputs and results'!$C$23+1),D29+C30,NA())</f>
        <v>#N/A</v>
      </c>
      <c r="E30" s="4" t="str">
        <f>IF(A30&lt;('2. Inputs and results'!$C$23+1),C30/((1+$P$2)^A30)," ")</f>
        <v xml:space="preserve"> </v>
      </c>
      <c r="F30" s="4" t="str">
        <f>IF(B30&lt;('2. Inputs and results'!$C$23+1),F29+E30," ")</f>
        <v xml:space="preserve"> </v>
      </c>
      <c r="G30" s="4" t="str">
        <f>IF(A30&lt;('2. Inputs and results'!$C$23+1),G29*(1+'2. Inputs and results'!$C$48)," ")</f>
        <v xml:space="preserve"> </v>
      </c>
      <c r="H30" s="4" t="str">
        <f>IF(A30&lt;('2. Inputs and results'!$C$23+1),H29*(1+'2. Inputs and results'!$C$60)," ")</f>
        <v xml:space="preserve"> </v>
      </c>
      <c r="I30" s="4" t="str">
        <f>IF(A30&lt;('2. Inputs and results'!$C$23+1),I29*(1+'2. Inputs and results'!$C$36)," ")</f>
        <v xml:space="preserve"> </v>
      </c>
      <c r="J30" s="4" t="str">
        <f>IF(A30&lt;('2. Inputs and results'!$C$23+1),J29*(1+'2. Inputs and results'!$C$70)," ")</f>
        <v xml:space="preserve"> </v>
      </c>
      <c r="K30" s="4" t="e">
        <f>IF(A30&lt;('2. Inputs and results'!$C$23+1),K29+(G30+I30+H30+J30),NA())</f>
        <v>#N/A</v>
      </c>
      <c r="L30" s="4" t="e">
        <f>IF(A30&lt;('2. Inputs and results'!$C$23+1),L29,NA())</f>
        <v>#N/A</v>
      </c>
      <c r="M30" s="4" t="str">
        <f>IF(A30&lt;('2. Inputs and results'!$C$23+1),'2. Inputs and results'!$C$77*'2. Inputs and results'!$C$75," ")</f>
        <v xml:space="preserve"> </v>
      </c>
      <c r="N30" s="4" t="str">
        <f>IF(A30&lt;('2. Inputs and results'!$C$23+1),M30/((1+$P$2)^A30)," ")</f>
        <v xml:space="preserve"> </v>
      </c>
      <c r="O30" s="4" t="str">
        <f>IF(A30&lt;('2. Inputs and results'!$C$23+1),'2. Inputs and results'!$C$75*'2. Inputs and results'!$C$77+O29," ")</f>
        <v xml:space="preserve"> </v>
      </c>
      <c r="P30" s="4" t="str">
        <f>IF(A30&lt;('2. Inputs and results'!$C$23+1),(G30+I30+H30+J30)/((1+$P$2)^A30)," ")</f>
        <v xml:space="preserve"> </v>
      </c>
      <c r="Q30" s="4" t="str">
        <f>IF(A30&lt;('2. Inputs and results'!$C$23+1),Q29+P30," ")</f>
        <v xml:space="preserve"> </v>
      </c>
      <c r="R30" s="4" t="e">
        <f>IF(A30&lt;('2. Inputs and results'!$C$23+1),R29+G30+I30+H30+J30+T30-$V$6,NA())</f>
        <v>#N/A</v>
      </c>
      <c r="S30" s="4" t="str">
        <f>IF(A30&lt;('2. Inputs and results'!$C$23+1),'2. Inputs and results'!$C$81*(R29)," ")</f>
        <v xml:space="preserve"> </v>
      </c>
      <c r="T30" s="4">
        <f t="shared" si="1"/>
        <v>0</v>
      </c>
      <c r="U30" s="4" t="e">
        <f>IF(A30&lt;('2. Inputs and results'!$C$23+1),U29+((G30+I30+H30+J30-$V$6+T30)/((1+$P$2)^A30)),NA())</f>
        <v>#N/A</v>
      </c>
      <c r="V30" s="4" t="str">
        <f>IF(A30&lt;('2. Inputs and results'!$C$23+1),V29+('2. Inputs and results'!$C$77*'2. Inputs and results'!$C$75)," ")</f>
        <v xml:space="preserve"> </v>
      </c>
      <c r="W30" s="4" t="e">
        <f>IF(A30&lt;('2. Inputs and results'!$C$23+1),W29+C30+Y30-$V$6,NA())</f>
        <v>#N/A</v>
      </c>
      <c r="X30" s="4" t="str">
        <f>IF(A30&lt;('2. Inputs and results'!$C$23+1),'2. Inputs and results'!$C$81*(W29)," ")</f>
        <v xml:space="preserve"> </v>
      </c>
      <c r="Y30" s="4">
        <f t="shared" si="2"/>
        <v>0</v>
      </c>
      <c r="Z30" s="4" t="e">
        <f>IF(A30&lt;('2. Inputs and results'!$C$23+1),Z29+((C30-$V$6+Y30)/((1+$P$2)^A30)),NA())</f>
        <v>#N/A</v>
      </c>
      <c r="AA30" s="4" t="str">
        <f>IF(A30&lt;('2. Inputs and results'!$C$23+1),AA29+G30+I30+H30+T30-$V$6," ")</f>
        <v xml:space="preserve"> </v>
      </c>
      <c r="AB30" s="11" t="e">
        <f>IF(A30&lt;('2. Inputs and results'!$C$23+1),AA30/L30,NA())</f>
        <v>#N/A</v>
      </c>
      <c r="AC30" s="12" t="str">
        <f>IF(A30&lt;('2. Inputs and results'!$C$23+1),AC29+C30+Y30-$V$6," ")</f>
        <v xml:space="preserve"> </v>
      </c>
      <c r="AD30" s="11" t="e">
        <f>IF(A30&lt;('2. Inputs and results'!$C$23+1),AC30/L30,NA())</f>
        <v>#N/A</v>
      </c>
      <c r="AE30" t="str">
        <f>IF(A30&lt;('2. Inputs and results'!$C$23+1),-'2. Inputs and results'!$C$124*A30," ")</f>
        <v xml:space="preserve"> </v>
      </c>
      <c r="AF30" t="e">
        <f>IF(A30&lt;('2. Inputs and results'!$C$23+1),AE30/1000,NA())</f>
        <v>#N/A</v>
      </c>
    </row>
    <row r="31" spans="1:32">
      <c r="A31">
        <f t="shared" si="0"/>
        <v>26</v>
      </c>
      <c r="B31" t="str">
        <f>IF(A31&lt;('2. Inputs and results'!$C$23+1),A31," ")</f>
        <v xml:space="preserve"> </v>
      </c>
      <c r="C31" s="4" t="str">
        <f>IF(A31&lt;('2. Inputs and results'!$C$23+1),'2. Inputs and results'!$C$101+'2. Inputs and results'!$C$103," ")</f>
        <v xml:space="preserve"> </v>
      </c>
      <c r="D31" s="4" t="e">
        <f>IF(A31&lt;('2. Inputs and results'!$C$23+1),D30+C31,NA())</f>
        <v>#N/A</v>
      </c>
      <c r="E31" s="4" t="str">
        <f>IF(A31&lt;('2. Inputs and results'!$C$23+1),C31/((1+$P$2)^A31)," ")</f>
        <v xml:space="preserve"> </v>
      </c>
      <c r="F31" s="4" t="str">
        <f>IF(B31&lt;('2. Inputs and results'!$C$23+1),F30+E31," ")</f>
        <v xml:space="preserve"> </v>
      </c>
      <c r="G31" s="4" t="str">
        <f>IF(A31&lt;('2. Inputs and results'!$C$23+1),G30*(1+'2. Inputs and results'!$C$48)," ")</f>
        <v xml:space="preserve"> </v>
      </c>
      <c r="H31" s="4" t="str">
        <f>IF(A31&lt;('2. Inputs and results'!$C$23+1),H30*(1+'2. Inputs and results'!$C$60)," ")</f>
        <v xml:space="preserve"> </v>
      </c>
      <c r="I31" s="4" t="str">
        <f>IF(A31&lt;('2. Inputs and results'!$C$23+1),I30*(1+'2. Inputs and results'!$C$36)," ")</f>
        <v xml:space="preserve"> </v>
      </c>
      <c r="J31" s="4" t="str">
        <f>IF(A31&lt;('2. Inputs and results'!$C$23+1),J30*(1+'2. Inputs and results'!$C$70)," ")</f>
        <v xml:space="preserve"> </v>
      </c>
      <c r="K31" s="4" t="e">
        <f>IF(A31&lt;('2. Inputs and results'!$C$23+1),K30+(G31+I31+H31+J31),NA())</f>
        <v>#N/A</v>
      </c>
      <c r="L31" s="4" t="e">
        <f>IF(A31&lt;('2. Inputs and results'!$C$23+1),L30,NA())</f>
        <v>#N/A</v>
      </c>
      <c r="M31" s="4" t="str">
        <f>IF(A31&lt;('2. Inputs and results'!$C$23+1),'2. Inputs and results'!$C$77*'2. Inputs and results'!$C$75," ")</f>
        <v xml:space="preserve"> </v>
      </c>
      <c r="N31" s="4" t="str">
        <f>IF(A31&lt;('2. Inputs and results'!$C$23+1),M31/((1+$P$2)^A31)," ")</f>
        <v xml:space="preserve"> </v>
      </c>
      <c r="O31" s="4" t="str">
        <f>IF(A31&lt;('2. Inputs and results'!$C$23+1),'2. Inputs and results'!$C$75*'2. Inputs and results'!$C$77+O30," ")</f>
        <v xml:space="preserve"> </v>
      </c>
      <c r="P31" s="4" t="str">
        <f>IF(A31&lt;('2. Inputs and results'!$C$23+1),(G31+I31+H31+J31)/((1+$P$2)^A31)," ")</f>
        <v xml:space="preserve"> </v>
      </c>
      <c r="Q31" s="4" t="str">
        <f>IF(A31&lt;('2. Inputs and results'!$C$23+1),Q30+P31," ")</f>
        <v xml:space="preserve"> </v>
      </c>
      <c r="R31" s="4" t="e">
        <f>IF(A31&lt;('2. Inputs and results'!$C$23+1),R30+G31+I31+H31+J31+T31-$V$6,NA())</f>
        <v>#N/A</v>
      </c>
      <c r="S31" s="4" t="str">
        <f>IF(A31&lt;('2. Inputs and results'!$C$23+1),'2. Inputs and results'!$C$81*(R30)," ")</f>
        <v xml:space="preserve"> </v>
      </c>
      <c r="T31" s="4">
        <f t="shared" si="1"/>
        <v>0</v>
      </c>
      <c r="U31" s="4" t="e">
        <f>IF(A31&lt;('2. Inputs and results'!$C$23+1),U30+((G31+I31+H31+J31-$V$6+T31)/((1+$P$2)^A31)),NA())</f>
        <v>#N/A</v>
      </c>
      <c r="V31" s="4" t="str">
        <f>IF(A31&lt;('2. Inputs and results'!$C$23+1),V30+('2. Inputs and results'!$C$77*'2. Inputs and results'!$C$75)," ")</f>
        <v xml:space="preserve"> </v>
      </c>
      <c r="W31" s="4" t="e">
        <f>IF(A31&lt;('2. Inputs and results'!$C$23+1),W30+C31+Y31-$V$6,NA())</f>
        <v>#N/A</v>
      </c>
      <c r="X31" s="4" t="str">
        <f>IF(A31&lt;('2. Inputs and results'!$C$23+1),'2. Inputs and results'!$C$81*(W30)," ")</f>
        <v xml:space="preserve"> </v>
      </c>
      <c r="Y31" s="4">
        <f t="shared" si="2"/>
        <v>0</v>
      </c>
      <c r="Z31" s="4" t="e">
        <f>IF(A31&lt;('2. Inputs and results'!$C$23+1),Z30+((C31-$V$6+Y31)/((1+$P$2)^A31)),NA())</f>
        <v>#N/A</v>
      </c>
      <c r="AA31" s="4" t="str">
        <f>IF(A31&lt;('2. Inputs and results'!$C$23+1),AA30+G31+I31+H31+T31-$V$6," ")</f>
        <v xml:space="preserve"> </v>
      </c>
      <c r="AB31" s="11" t="e">
        <f>IF(A31&lt;('2. Inputs and results'!$C$23+1),AA31/L31,NA())</f>
        <v>#N/A</v>
      </c>
      <c r="AC31" s="12" t="str">
        <f>IF(A31&lt;('2. Inputs and results'!$C$23+1),AC30+C31+Y31-$V$6," ")</f>
        <v xml:space="preserve"> </v>
      </c>
      <c r="AD31" s="11" t="e">
        <f>IF(A31&lt;('2. Inputs and results'!$C$23+1),AC31/L31,NA())</f>
        <v>#N/A</v>
      </c>
      <c r="AE31" t="str">
        <f>IF(A31&lt;('2. Inputs and results'!$C$23+1),-'2. Inputs and results'!$C$124*A31," ")</f>
        <v xml:space="preserve"> </v>
      </c>
      <c r="AF31" t="e">
        <f>IF(A31&lt;('2. Inputs and results'!$C$23+1),AE31/1000,NA())</f>
        <v>#N/A</v>
      </c>
    </row>
    <row r="32" spans="1:32">
      <c r="A32">
        <f t="shared" si="0"/>
        <v>27</v>
      </c>
      <c r="B32" t="str">
        <f>IF(A32&lt;('2. Inputs and results'!$C$23+1),A32," ")</f>
        <v xml:space="preserve"> </v>
      </c>
      <c r="C32" s="4" t="str">
        <f>IF(A32&lt;('2. Inputs and results'!$C$23+1),'2. Inputs and results'!$C$101+'2. Inputs and results'!$C$103," ")</f>
        <v xml:space="preserve"> </v>
      </c>
      <c r="D32" s="4" t="e">
        <f>IF(A32&lt;('2. Inputs and results'!$C$23+1),D31+C32,NA())</f>
        <v>#N/A</v>
      </c>
      <c r="E32" s="4" t="str">
        <f>IF(A32&lt;('2. Inputs and results'!$C$23+1),C32/((1+$P$2)^A32)," ")</f>
        <v xml:space="preserve"> </v>
      </c>
      <c r="F32" s="4" t="str">
        <f>IF(B32&lt;('2. Inputs and results'!$C$23+1),F31+E32," ")</f>
        <v xml:space="preserve"> </v>
      </c>
      <c r="G32" s="4" t="str">
        <f>IF(A32&lt;('2. Inputs and results'!$C$23+1),G31*(1+'2. Inputs and results'!$C$48)," ")</f>
        <v xml:space="preserve"> </v>
      </c>
      <c r="H32" s="4" t="str">
        <f>IF(A32&lt;('2. Inputs and results'!$C$23+1),H31*(1+'2. Inputs and results'!$C$60)," ")</f>
        <v xml:space="preserve"> </v>
      </c>
      <c r="I32" s="4" t="str">
        <f>IF(A32&lt;('2. Inputs and results'!$C$23+1),I31*(1+'2. Inputs and results'!$C$36)," ")</f>
        <v xml:space="preserve"> </v>
      </c>
      <c r="J32" s="4" t="str">
        <f>IF(A32&lt;('2. Inputs and results'!$C$23+1),J31*(1+'2. Inputs and results'!$C$70)," ")</f>
        <v xml:space="preserve"> </v>
      </c>
      <c r="K32" s="4" t="e">
        <f>IF(A32&lt;('2. Inputs and results'!$C$23+1),K31+(G32+I32+H32+J32),NA())</f>
        <v>#N/A</v>
      </c>
      <c r="L32" s="4" t="e">
        <f>IF(A32&lt;('2. Inputs and results'!$C$23+1),L31,NA())</f>
        <v>#N/A</v>
      </c>
      <c r="M32" s="4" t="str">
        <f>IF(A32&lt;('2. Inputs and results'!$C$23+1),'2. Inputs and results'!$C$77*'2. Inputs and results'!$C$75," ")</f>
        <v xml:space="preserve"> </v>
      </c>
      <c r="N32" s="4" t="str">
        <f>IF(A32&lt;('2. Inputs and results'!$C$23+1),M32/((1+$P$2)^A32)," ")</f>
        <v xml:space="preserve"> </v>
      </c>
      <c r="O32" s="4" t="str">
        <f>IF(A32&lt;('2. Inputs and results'!$C$23+1),'2. Inputs and results'!$C$75*'2. Inputs and results'!$C$77+O31," ")</f>
        <v xml:space="preserve"> </v>
      </c>
      <c r="P32" s="4" t="str">
        <f>IF(A32&lt;('2. Inputs and results'!$C$23+1),(G32+I32+H32+J32)/((1+$P$2)^A32)," ")</f>
        <v xml:space="preserve"> </v>
      </c>
      <c r="Q32" s="4" t="str">
        <f>IF(A32&lt;('2. Inputs and results'!$C$23+1),Q31+P32," ")</f>
        <v xml:space="preserve"> </v>
      </c>
      <c r="R32" s="4" t="e">
        <f>IF(A32&lt;('2. Inputs and results'!$C$23+1),R31+G32+I32+H32+J32+T32-$V$6,NA())</f>
        <v>#N/A</v>
      </c>
      <c r="S32" s="4" t="str">
        <f>IF(A32&lt;('2. Inputs and results'!$C$23+1),'2. Inputs and results'!$C$81*(R31)," ")</f>
        <v xml:space="preserve"> </v>
      </c>
      <c r="T32" s="4">
        <f t="shared" si="1"/>
        <v>0</v>
      </c>
      <c r="U32" s="4" t="e">
        <f>IF(A32&lt;('2. Inputs and results'!$C$23+1),U31+((G32+I32+H32+J32-$V$6+T32)/((1+$P$2)^A32)),NA())</f>
        <v>#N/A</v>
      </c>
      <c r="V32" s="4" t="str">
        <f>IF(A32&lt;('2. Inputs and results'!$C$23+1),V31+('2. Inputs and results'!$C$77*'2. Inputs and results'!$C$75)," ")</f>
        <v xml:space="preserve"> </v>
      </c>
      <c r="W32" s="4" t="e">
        <f>IF(A32&lt;('2. Inputs and results'!$C$23+1),W31+C32+Y32-$V$6,NA())</f>
        <v>#N/A</v>
      </c>
      <c r="X32" s="4" t="str">
        <f>IF(A32&lt;('2. Inputs and results'!$C$23+1),'2. Inputs and results'!$C$81*(W31)," ")</f>
        <v xml:space="preserve"> </v>
      </c>
      <c r="Y32" s="4">
        <f t="shared" si="2"/>
        <v>0</v>
      </c>
      <c r="Z32" s="4" t="e">
        <f>IF(A32&lt;('2. Inputs and results'!$C$23+1),Z31+((C32-$V$6+Y32)/((1+$P$2)^A32)),NA())</f>
        <v>#N/A</v>
      </c>
      <c r="AA32" s="4" t="str">
        <f>IF(A32&lt;('2. Inputs and results'!$C$23+1),AA31+G32+I32+H32+T32-$V$6," ")</f>
        <v xml:space="preserve"> </v>
      </c>
      <c r="AB32" s="11" t="e">
        <f>IF(A32&lt;('2. Inputs and results'!$C$23+1),AA32/L32,NA())</f>
        <v>#N/A</v>
      </c>
      <c r="AC32" s="12" t="str">
        <f>IF(A32&lt;('2. Inputs and results'!$C$23+1),AC31+C32+Y32-$V$6," ")</f>
        <v xml:space="preserve"> </v>
      </c>
      <c r="AD32" s="11" t="e">
        <f>IF(A32&lt;('2. Inputs and results'!$C$23+1),AC32/L32,NA())</f>
        <v>#N/A</v>
      </c>
      <c r="AE32" t="str">
        <f>IF(A32&lt;('2. Inputs and results'!$C$23+1),-'2. Inputs and results'!$C$124*A32," ")</f>
        <v xml:space="preserve"> </v>
      </c>
      <c r="AF32" t="e">
        <f>IF(A32&lt;('2. Inputs and results'!$C$23+1),AE32/1000,NA())</f>
        <v>#N/A</v>
      </c>
    </row>
    <row r="33" spans="1:32">
      <c r="A33">
        <f t="shared" si="0"/>
        <v>28</v>
      </c>
      <c r="B33" t="str">
        <f>IF(A33&lt;('2. Inputs and results'!$C$23+1),A33," ")</f>
        <v xml:space="preserve"> </v>
      </c>
      <c r="C33" s="4" t="str">
        <f>IF(A33&lt;('2. Inputs and results'!$C$23+1),'2. Inputs and results'!$C$101+'2. Inputs and results'!$C$103," ")</f>
        <v xml:space="preserve"> </v>
      </c>
      <c r="D33" s="4" t="e">
        <f>IF(A33&lt;('2. Inputs and results'!$C$23+1),D32+C33,NA())</f>
        <v>#N/A</v>
      </c>
      <c r="E33" s="4" t="str">
        <f>IF(A33&lt;('2. Inputs and results'!$C$23+1),C33/((1+$P$2)^A33)," ")</f>
        <v xml:space="preserve"> </v>
      </c>
      <c r="F33" s="4" t="str">
        <f>IF(B33&lt;('2. Inputs and results'!$C$23+1),F32+E33," ")</f>
        <v xml:space="preserve"> </v>
      </c>
      <c r="G33" s="4" t="str">
        <f>IF(A33&lt;('2. Inputs and results'!$C$23+1),G32*(1+'2. Inputs and results'!$C$48)," ")</f>
        <v xml:space="preserve"> </v>
      </c>
      <c r="H33" s="4" t="str">
        <f>IF(A33&lt;('2. Inputs and results'!$C$23+1),H32*(1+'2. Inputs and results'!$C$60)," ")</f>
        <v xml:space="preserve"> </v>
      </c>
      <c r="I33" s="4" t="str">
        <f>IF(A33&lt;('2. Inputs and results'!$C$23+1),I32*(1+'2. Inputs and results'!$C$36)," ")</f>
        <v xml:space="preserve"> </v>
      </c>
      <c r="J33" s="4" t="str">
        <f>IF(A33&lt;('2. Inputs and results'!$C$23+1),J32*(1+'2. Inputs and results'!$C$70)," ")</f>
        <v xml:space="preserve"> </v>
      </c>
      <c r="K33" s="4" t="e">
        <f>IF(A33&lt;('2. Inputs and results'!$C$23+1),K32+(G33+I33+H33+J33),NA())</f>
        <v>#N/A</v>
      </c>
      <c r="L33" s="4" t="e">
        <f>IF(A33&lt;('2. Inputs and results'!$C$23+1),L32,NA())</f>
        <v>#N/A</v>
      </c>
      <c r="M33" s="4" t="str">
        <f>IF(A33&lt;('2. Inputs and results'!$C$23+1),'2. Inputs and results'!$C$77*'2. Inputs and results'!$C$75," ")</f>
        <v xml:space="preserve"> </v>
      </c>
      <c r="N33" s="4" t="str">
        <f>IF(A33&lt;('2. Inputs and results'!$C$23+1),M33/((1+$P$2)^A33)," ")</f>
        <v xml:space="preserve"> </v>
      </c>
      <c r="O33" s="4" t="str">
        <f>IF(A33&lt;('2. Inputs and results'!$C$23+1),'2. Inputs and results'!$C$75*'2. Inputs and results'!$C$77+O32," ")</f>
        <v xml:space="preserve"> </v>
      </c>
      <c r="P33" s="4" t="str">
        <f>IF(A33&lt;('2. Inputs and results'!$C$23+1),(G33+I33+H33+J33)/((1+$P$2)^A33)," ")</f>
        <v xml:space="preserve"> </v>
      </c>
      <c r="Q33" s="4" t="str">
        <f>IF(A33&lt;('2. Inputs and results'!$C$23+1),Q32+P33," ")</f>
        <v xml:space="preserve"> </v>
      </c>
      <c r="R33" s="4" t="e">
        <f>IF(A33&lt;('2. Inputs and results'!$C$23+1),R32+G33+I33+H33+J33+T33-$V$6,NA())</f>
        <v>#N/A</v>
      </c>
      <c r="S33" s="4" t="str">
        <f>IF(A33&lt;('2. Inputs and results'!$C$23+1),'2. Inputs and results'!$C$81*(R32)," ")</f>
        <v xml:space="preserve"> </v>
      </c>
      <c r="T33" s="4">
        <f t="shared" si="1"/>
        <v>0</v>
      </c>
      <c r="U33" s="4" t="e">
        <f>IF(A33&lt;('2. Inputs and results'!$C$23+1),U32+((G33+I33+H33+J33-$V$6+T33)/((1+$P$2)^A33)),NA())</f>
        <v>#N/A</v>
      </c>
      <c r="V33" s="4" t="str">
        <f>IF(A33&lt;('2. Inputs and results'!$C$23+1),V32+('2. Inputs and results'!$C$77*'2. Inputs and results'!$C$75)," ")</f>
        <v xml:space="preserve"> </v>
      </c>
      <c r="W33" s="4" t="e">
        <f>IF(A33&lt;('2. Inputs and results'!$C$23+1),W32+C33+Y33-$V$6,NA())</f>
        <v>#N/A</v>
      </c>
      <c r="X33" s="4" t="str">
        <f>IF(A33&lt;('2. Inputs and results'!$C$23+1),'2. Inputs and results'!$C$81*(W32)," ")</f>
        <v xml:space="preserve"> </v>
      </c>
      <c r="Y33" s="4">
        <f t="shared" si="2"/>
        <v>0</v>
      </c>
      <c r="Z33" s="4" t="e">
        <f>IF(A33&lt;('2. Inputs and results'!$C$23+1),Z32+((C33-$V$6+Y33)/((1+$P$2)^A33)),NA())</f>
        <v>#N/A</v>
      </c>
      <c r="AA33" s="4" t="str">
        <f>IF(A33&lt;('2. Inputs and results'!$C$23+1),AA32+G33+I33+H33+T33-$V$6," ")</f>
        <v xml:space="preserve"> </v>
      </c>
      <c r="AB33" s="11" t="e">
        <f>IF(A33&lt;('2. Inputs and results'!$C$23+1),AA33/L33,NA())</f>
        <v>#N/A</v>
      </c>
      <c r="AC33" s="12" t="str">
        <f>IF(A33&lt;('2. Inputs and results'!$C$23+1),AC32+C33+Y33-$V$6," ")</f>
        <v xml:space="preserve"> </v>
      </c>
      <c r="AD33" s="11" t="e">
        <f>IF(A33&lt;('2. Inputs and results'!$C$23+1),AC33/L33,NA())</f>
        <v>#N/A</v>
      </c>
      <c r="AE33" t="str">
        <f>IF(A33&lt;('2. Inputs and results'!$C$23+1),-'2. Inputs and results'!$C$124*A33," ")</f>
        <v xml:space="preserve"> </v>
      </c>
      <c r="AF33" t="e">
        <f>IF(A33&lt;('2. Inputs and results'!$C$23+1),AE33/1000,NA())</f>
        <v>#N/A</v>
      </c>
    </row>
    <row r="34" spans="1:32">
      <c r="A34">
        <f t="shared" si="0"/>
        <v>29</v>
      </c>
      <c r="B34" t="str">
        <f>IF(A34&lt;('2. Inputs and results'!$C$23+1),A34," ")</f>
        <v xml:space="preserve"> </v>
      </c>
      <c r="C34" s="4" t="str">
        <f>IF(A34&lt;('2. Inputs and results'!$C$23+1),'2. Inputs and results'!$C$101+'2. Inputs and results'!$C$103," ")</f>
        <v xml:space="preserve"> </v>
      </c>
      <c r="D34" s="4" t="e">
        <f>IF(A34&lt;('2. Inputs and results'!$C$23+1),D33+C34,NA())</f>
        <v>#N/A</v>
      </c>
      <c r="E34" s="4" t="str">
        <f>IF(A34&lt;('2. Inputs and results'!$C$23+1),C34/((1+$P$2)^A34)," ")</f>
        <v xml:space="preserve"> </v>
      </c>
      <c r="F34" s="4" t="str">
        <f>IF(B34&lt;('2. Inputs and results'!$C$23+1),F33+E34," ")</f>
        <v xml:space="preserve"> </v>
      </c>
      <c r="G34" s="4" t="str">
        <f>IF(A34&lt;('2. Inputs and results'!$C$23+1),G33*(1+'2. Inputs and results'!$C$48)," ")</f>
        <v xml:space="preserve"> </v>
      </c>
      <c r="H34" s="4" t="str">
        <f>IF(A34&lt;('2. Inputs and results'!$C$23+1),H33*(1+'2. Inputs and results'!$C$60)," ")</f>
        <v xml:space="preserve"> </v>
      </c>
      <c r="I34" s="4" t="str">
        <f>IF(A34&lt;('2. Inputs and results'!$C$23+1),I33*(1+'2. Inputs and results'!$C$36)," ")</f>
        <v xml:space="preserve"> </v>
      </c>
      <c r="J34" s="4" t="str">
        <f>IF(A34&lt;('2. Inputs and results'!$C$23+1),J33*(1+'2. Inputs and results'!$C$70)," ")</f>
        <v xml:space="preserve"> </v>
      </c>
      <c r="K34" s="4" t="e">
        <f>IF(A34&lt;('2. Inputs and results'!$C$23+1),K33+(G34+I34+H34+J34),NA())</f>
        <v>#N/A</v>
      </c>
      <c r="L34" s="4" t="e">
        <f>IF(A34&lt;('2. Inputs and results'!$C$23+1),L33,NA())</f>
        <v>#N/A</v>
      </c>
      <c r="M34" s="4" t="str">
        <f>IF(A34&lt;('2. Inputs and results'!$C$23+1),'2. Inputs and results'!$C$77*'2. Inputs and results'!$C$75," ")</f>
        <v xml:space="preserve"> </v>
      </c>
      <c r="N34" s="4" t="str">
        <f>IF(A34&lt;('2. Inputs and results'!$C$23+1),M34/((1+$P$2)^A34)," ")</f>
        <v xml:space="preserve"> </v>
      </c>
      <c r="O34" s="4" t="str">
        <f>IF(A34&lt;('2. Inputs and results'!$C$23+1),'2. Inputs and results'!$C$75*'2. Inputs and results'!$C$77+O33," ")</f>
        <v xml:space="preserve"> </v>
      </c>
      <c r="P34" s="4" t="str">
        <f>IF(A34&lt;('2. Inputs and results'!$C$23+1),(G34+I34+H34+J34)/((1+$P$2)^A34)," ")</f>
        <v xml:space="preserve"> </v>
      </c>
      <c r="Q34" s="4" t="str">
        <f>IF(A34&lt;('2. Inputs and results'!$C$23+1),Q33+P34," ")</f>
        <v xml:space="preserve"> </v>
      </c>
      <c r="R34" s="4" t="e">
        <f>IF(A34&lt;('2. Inputs and results'!$C$23+1),R33+G34+I34+H34+J34+T34-$V$6,NA())</f>
        <v>#N/A</v>
      </c>
      <c r="S34" s="4" t="str">
        <f>IF(A34&lt;('2. Inputs and results'!$C$23+1),'2. Inputs and results'!$C$81*(R33)," ")</f>
        <v xml:space="preserve"> </v>
      </c>
      <c r="T34" s="4">
        <f t="shared" si="1"/>
        <v>0</v>
      </c>
      <c r="U34" s="4" t="e">
        <f>IF(A34&lt;('2. Inputs and results'!$C$23+1),U33+((G34+I34+H34+J34-$V$6+T34)/((1+$P$2)^A34)),NA())</f>
        <v>#N/A</v>
      </c>
      <c r="V34" s="4" t="str">
        <f>IF(A34&lt;('2. Inputs and results'!$C$23+1),V33+('2. Inputs and results'!$C$77*'2. Inputs and results'!$C$75)," ")</f>
        <v xml:space="preserve"> </v>
      </c>
      <c r="W34" s="4" t="e">
        <f>IF(A34&lt;('2. Inputs and results'!$C$23+1),W33+C34+Y34-$V$6,NA())</f>
        <v>#N/A</v>
      </c>
      <c r="X34" s="4" t="str">
        <f>IF(A34&lt;('2. Inputs and results'!$C$23+1),'2. Inputs and results'!$C$81*(W33)," ")</f>
        <v xml:space="preserve"> </v>
      </c>
      <c r="Y34" s="4">
        <f t="shared" si="2"/>
        <v>0</v>
      </c>
      <c r="Z34" s="4" t="e">
        <f>IF(A34&lt;('2. Inputs and results'!$C$23+1),Z33+((C34-$V$6+Y34)/((1+$P$2)^A34)),NA())</f>
        <v>#N/A</v>
      </c>
      <c r="AA34" s="4" t="str">
        <f>IF(A34&lt;('2. Inputs and results'!$C$23+1),AA33+G34+I34+H34+T34-$V$6," ")</f>
        <v xml:space="preserve"> </v>
      </c>
      <c r="AB34" s="11" t="e">
        <f>IF(A34&lt;('2. Inputs and results'!$C$23+1),AA34/L34,NA())</f>
        <v>#N/A</v>
      </c>
      <c r="AC34" s="12" t="str">
        <f>IF(A34&lt;('2. Inputs and results'!$C$23+1),AC33+C34+Y34-$V$6," ")</f>
        <v xml:space="preserve"> </v>
      </c>
      <c r="AD34" s="11" t="e">
        <f>IF(A34&lt;('2. Inputs and results'!$C$23+1),AC34/L34,NA())</f>
        <v>#N/A</v>
      </c>
      <c r="AE34" t="str">
        <f>IF(A34&lt;('2. Inputs and results'!$C$23+1),-'2. Inputs and results'!$C$124*A34," ")</f>
        <v xml:space="preserve"> </v>
      </c>
      <c r="AF34" t="e">
        <f>IF(A34&lt;('2. Inputs and results'!$C$23+1),AE34/1000,NA())</f>
        <v>#N/A</v>
      </c>
    </row>
    <row r="35" spans="1:32">
      <c r="A35">
        <f t="shared" si="0"/>
        <v>30</v>
      </c>
      <c r="B35" t="str">
        <f>IF(A35&lt;('2. Inputs and results'!$C$23+1),A35," ")</f>
        <v xml:space="preserve"> </v>
      </c>
      <c r="C35" s="4" t="str">
        <f>IF(A35&lt;('2. Inputs and results'!$C$23+1),'2. Inputs and results'!$C$101+'2. Inputs and results'!$C$103," ")</f>
        <v xml:space="preserve"> </v>
      </c>
      <c r="D35" s="4" t="e">
        <f>IF(A35&lt;('2. Inputs and results'!$C$23+1),D34+C35,NA())</f>
        <v>#N/A</v>
      </c>
      <c r="E35" s="4" t="str">
        <f>IF(A35&lt;('2. Inputs and results'!$C$23+1),C35/((1+$P$2)^A35)," ")</f>
        <v xml:space="preserve"> </v>
      </c>
      <c r="F35" s="4" t="str">
        <f>IF(B35&lt;('2. Inputs and results'!$C$23+1),F34+E35," ")</f>
        <v xml:space="preserve"> </v>
      </c>
      <c r="G35" s="4" t="str">
        <f>IF(A35&lt;('2. Inputs and results'!$C$23+1),G34*(1+'2. Inputs and results'!$C$48)," ")</f>
        <v xml:space="preserve"> </v>
      </c>
      <c r="H35" s="4" t="str">
        <f>IF(A35&lt;('2. Inputs and results'!$C$23+1),H34*(1+'2. Inputs and results'!$C$60)," ")</f>
        <v xml:space="preserve"> </v>
      </c>
      <c r="I35" s="4" t="str">
        <f>IF(A35&lt;('2. Inputs and results'!$C$23+1),I34*(1+'2. Inputs and results'!$C$36)," ")</f>
        <v xml:space="preserve"> </v>
      </c>
      <c r="J35" s="4" t="str">
        <f>IF(A35&lt;('2. Inputs and results'!$C$23+1),J34*(1+'2. Inputs and results'!$C$70)," ")</f>
        <v xml:space="preserve"> </v>
      </c>
      <c r="K35" s="4" t="e">
        <f>IF(A35&lt;('2. Inputs and results'!$C$23+1),K34+(G35+I35+H35+J35),NA())</f>
        <v>#N/A</v>
      </c>
      <c r="L35" s="4" t="e">
        <f>IF(A35&lt;('2. Inputs and results'!$C$23+1),L34,NA())</f>
        <v>#N/A</v>
      </c>
      <c r="M35" s="4" t="str">
        <f>IF(A35&lt;('2. Inputs and results'!$C$23+1),'2. Inputs and results'!$C$77*'2. Inputs and results'!$C$75," ")</f>
        <v xml:space="preserve"> </v>
      </c>
      <c r="N35" s="4" t="str">
        <f>IF(A35&lt;('2. Inputs and results'!$C$23+1),M35/((1+$P$2)^A35)," ")</f>
        <v xml:space="preserve"> </v>
      </c>
      <c r="O35" s="4" t="str">
        <f>IF(A35&lt;('2. Inputs and results'!$C$23+1),'2. Inputs and results'!$C$75*'2. Inputs and results'!$C$77+O34," ")</f>
        <v xml:space="preserve"> </v>
      </c>
      <c r="P35" s="4" t="str">
        <f>IF(A35&lt;('2. Inputs and results'!$C$23+1),(G35+I35+H35+J35)/((1+$P$2)^A35)," ")</f>
        <v xml:space="preserve"> </v>
      </c>
      <c r="Q35" s="4" t="str">
        <f>IF(A35&lt;('2. Inputs and results'!$C$23+1),Q34+P35," ")</f>
        <v xml:space="preserve"> </v>
      </c>
      <c r="R35" s="4" t="e">
        <f>IF(A35&lt;('2. Inputs and results'!$C$23+1),R34+G35+I35+H35+J35+T35-$V$6,NA())</f>
        <v>#N/A</v>
      </c>
      <c r="S35" s="4" t="str">
        <f>IF(A35&lt;('2. Inputs and results'!$C$23+1),'2. Inputs and results'!$C$81*(R34)," ")</f>
        <v xml:space="preserve"> </v>
      </c>
      <c r="T35" s="4">
        <f t="shared" si="1"/>
        <v>0</v>
      </c>
      <c r="U35" s="4" t="e">
        <f>IF(A35&lt;('2. Inputs and results'!$C$23+1),U34+((G35+I35+H35+J35-$V$6+T35)/((1+$P$2)^A35)),NA())</f>
        <v>#N/A</v>
      </c>
      <c r="V35" s="4" t="str">
        <f>IF(A35&lt;('2. Inputs and results'!$C$23+1),V34+('2. Inputs and results'!$C$77*'2. Inputs and results'!$C$75)," ")</f>
        <v xml:space="preserve"> </v>
      </c>
      <c r="W35" s="4" t="e">
        <f>IF(A35&lt;('2. Inputs and results'!$C$23+1),W34+C35+Y35-$V$6,NA())</f>
        <v>#N/A</v>
      </c>
      <c r="X35" s="4" t="str">
        <f>IF(A35&lt;('2. Inputs and results'!$C$23+1),'2. Inputs and results'!$C$81*(W34)," ")</f>
        <v xml:space="preserve"> </v>
      </c>
      <c r="Y35" s="4">
        <f t="shared" si="2"/>
        <v>0</v>
      </c>
      <c r="Z35" s="4" t="e">
        <f>IF(A35&lt;('2. Inputs and results'!$C$23+1),Z34+((C35-$V$6+Y35)/((1+$P$2)^A35)),NA())</f>
        <v>#N/A</v>
      </c>
      <c r="AA35" s="4" t="str">
        <f>IF(A35&lt;('2. Inputs and results'!$C$23+1),AA34+G35+I35+H35+T35-$V$6," ")</f>
        <v xml:space="preserve"> </v>
      </c>
      <c r="AB35" s="11" t="e">
        <f>IF(A35&lt;('2. Inputs and results'!$C$23+1),AA35/L35,NA())</f>
        <v>#N/A</v>
      </c>
      <c r="AC35" s="12" t="str">
        <f>IF(A35&lt;('2. Inputs and results'!$C$23+1),AC34+C35+Y35-$V$6," ")</f>
        <v xml:space="preserve"> </v>
      </c>
      <c r="AD35" s="11" t="e">
        <f>IF(A35&lt;('2. Inputs and results'!$C$23+1),AC35/L35,NA())</f>
        <v>#N/A</v>
      </c>
      <c r="AE35" t="str">
        <f>IF(A35&lt;('2. Inputs and results'!$C$23+1),-'2. Inputs and results'!$C$124*A35," ")</f>
        <v xml:space="preserve"> </v>
      </c>
      <c r="AF35" t="e">
        <f>IF(A35&lt;('2. Inputs and results'!$C$23+1),AE35/1000,NA())</f>
        <v>#N/A</v>
      </c>
    </row>
    <row r="36" spans="1:32">
      <c r="A36">
        <f t="shared" si="0"/>
        <v>31</v>
      </c>
      <c r="B36" t="str">
        <f>IF(A36&lt;('2. Inputs and results'!$C$23+1),A36," ")</f>
        <v xml:space="preserve"> </v>
      </c>
      <c r="C36" s="4" t="str">
        <f>IF(A36&lt;('2. Inputs and results'!$C$23+1),'2. Inputs and results'!$C$101+'2. Inputs and results'!$C$103," ")</f>
        <v xml:space="preserve"> </v>
      </c>
      <c r="D36" s="4" t="e">
        <f>IF(A36&lt;('2. Inputs and results'!$C$23+1),D35+C36,NA())</f>
        <v>#N/A</v>
      </c>
      <c r="E36" s="4" t="str">
        <f>IF(A36&lt;('2. Inputs and results'!$C$23+1),C36/((1+$P$2)^A36)," ")</f>
        <v xml:space="preserve"> </v>
      </c>
      <c r="F36" s="4" t="str">
        <f>IF(B36&lt;('2. Inputs and results'!$C$23+1),F35+E36," ")</f>
        <v xml:space="preserve"> </v>
      </c>
      <c r="G36" s="4" t="str">
        <f>IF(A36&lt;('2. Inputs and results'!$C$23+1),G35*(1+'2. Inputs and results'!$C$48)," ")</f>
        <v xml:space="preserve"> </v>
      </c>
      <c r="H36" s="4" t="str">
        <f>IF(A36&lt;('2. Inputs and results'!$C$23+1),H35*(1+'2. Inputs and results'!$C$60)," ")</f>
        <v xml:space="preserve"> </v>
      </c>
      <c r="I36" s="4" t="str">
        <f>IF(A36&lt;('2. Inputs and results'!$C$23+1),I35*(1+'2. Inputs and results'!$C$36)," ")</f>
        <v xml:space="preserve"> </v>
      </c>
      <c r="J36" s="4" t="str">
        <f>IF(A36&lt;('2. Inputs and results'!$C$23+1),J35*(1+'2. Inputs and results'!$C$70)," ")</f>
        <v xml:space="preserve"> </v>
      </c>
      <c r="K36" s="4" t="e">
        <f>IF(A36&lt;('2. Inputs and results'!$C$23+1),K35+(G36+I36+H36+J36),NA())</f>
        <v>#N/A</v>
      </c>
      <c r="L36" s="4" t="e">
        <f>IF(A36&lt;('2. Inputs and results'!$C$23+1),L35,NA())</f>
        <v>#N/A</v>
      </c>
      <c r="M36" s="4" t="str">
        <f>IF(A36&lt;('2. Inputs and results'!$C$23+1),'2. Inputs and results'!$C$77*'2. Inputs and results'!$C$75," ")</f>
        <v xml:space="preserve"> </v>
      </c>
      <c r="N36" s="4" t="str">
        <f>IF(A36&lt;('2. Inputs and results'!$C$23+1),M36/((1+$P$2)^A36)," ")</f>
        <v xml:space="preserve"> </v>
      </c>
      <c r="O36" s="4" t="str">
        <f>IF(A36&lt;('2. Inputs and results'!$C$23+1),'2. Inputs and results'!$C$75*'2. Inputs and results'!$C$77+O35," ")</f>
        <v xml:space="preserve"> </v>
      </c>
      <c r="P36" s="4" t="str">
        <f>IF(A36&lt;('2. Inputs and results'!$C$23+1),(G36+I36+H36+J36)/((1+$P$2)^A36)," ")</f>
        <v xml:space="preserve"> </v>
      </c>
      <c r="Q36" s="4" t="str">
        <f>IF(A36&lt;('2. Inputs and results'!$C$23+1),Q35+P36," ")</f>
        <v xml:space="preserve"> </v>
      </c>
      <c r="R36" s="4" t="e">
        <f>IF(A36&lt;('2. Inputs and results'!$C$23+1),R35+G36+I36+H36+J36+T36-$V$6,NA())</f>
        <v>#N/A</v>
      </c>
      <c r="S36" s="4" t="str">
        <f>IF(A36&lt;('2. Inputs and results'!$C$23+1),'2. Inputs and results'!$C$81*(R35)," ")</f>
        <v xml:space="preserve"> </v>
      </c>
      <c r="T36" s="4">
        <f t="shared" si="1"/>
        <v>0</v>
      </c>
      <c r="U36" s="4" t="e">
        <f>IF(A36&lt;('2. Inputs and results'!$C$23+1),U35+((G36+I36+H36+J36-$V$6+T36)/((1+$P$2)^A36)),NA())</f>
        <v>#N/A</v>
      </c>
      <c r="V36" s="4" t="str">
        <f>IF(A36&lt;('2. Inputs and results'!$C$23+1),V35+('2. Inputs and results'!$C$77*'2. Inputs and results'!$C$75)," ")</f>
        <v xml:space="preserve"> </v>
      </c>
      <c r="W36" s="4" t="e">
        <f>IF(A36&lt;('2. Inputs and results'!$C$23+1),W35+C36+Y36-$V$6,NA())</f>
        <v>#N/A</v>
      </c>
      <c r="X36" s="4" t="str">
        <f>IF(A36&lt;('2. Inputs and results'!$C$23+1),'2. Inputs and results'!$C$81*(W35)," ")</f>
        <v xml:space="preserve"> </v>
      </c>
      <c r="Y36" s="4">
        <f t="shared" si="2"/>
        <v>0</v>
      </c>
      <c r="Z36" s="4" t="e">
        <f>IF(A36&lt;('2. Inputs and results'!$C$23+1),Z35+((C36-$V$6+Y36)/((1+$P$2)^A36)),NA())</f>
        <v>#N/A</v>
      </c>
      <c r="AA36" s="4" t="str">
        <f>IF(A36&lt;('2. Inputs and results'!$C$23+1),AA35+G36+I36+H36+T36-$V$6," ")</f>
        <v xml:space="preserve"> </v>
      </c>
      <c r="AB36" s="11" t="e">
        <f>IF(A36&lt;('2. Inputs and results'!$C$23+1),AA36/L36,NA())</f>
        <v>#N/A</v>
      </c>
      <c r="AC36" s="12" t="str">
        <f>IF(A36&lt;('2. Inputs and results'!$C$23+1),AC35+C36+Y36-$V$6," ")</f>
        <v xml:space="preserve"> </v>
      </c>
      <c r="AD36" s="11" t="e">
        <f>IF(A36&lt;('2. Inputs and results'!$C$23+1),AC36/L36,NA())</f>
        <v>#N/A</v>
      </c>
      <c r="AE36" t="str">
        <f>IF(A36&lt;('2. Inputs and results'!$C$23+1),-'2. Inputs and results'!$C$124*A36," ")</f>
        <v xml:space="preserve"> </v>
      </c>
      <c r="AF36" t="e">
        <f>IF(A36&lt;('2. Inputs and results'!$C$23+1),AE36/1000,NA())</f>
        <v>#N/A</v>
      </c>
    </row>
    <row r="37" spans="1:32">
      <c r="A37">
        <f t="shared" si="0"/>
        <v>32</v>
      </c>
      <c r="B37" t="str">
        <f>IF(A37&lt;('2. Inputs and results'!$C$23+1),A37," ")</f>
        <v xml:space="preserve"> </v>
      </c>
      <c r="C37" s="4" t="str">
        <f>IF(A37&lt;('2. Inputs and results'!$C$23+1),'2. Inputs and results'!$C$101+'2. Inputs and results'!$C$103," ")</f>
        <v xml:space="preserve"> </v>
      </c>
      <c r="D37" s="4" t="e">
        <f>IF(A37&lt;('2. Inputs and results'!$C$23+1),D36+C37,NA())</f>
        <v>#N/A</v>
      </c>
      <c r="E37" s="4" t="str">
        <f>IF(A37&lt;('2. Inputs and results'!$C$23+1),C37/((1+$P$2)^A37)," ")</f>
        <v xml:space="preserve"> </v>
      </c>
      <c r="F37" s="4" t="str">
        <f>IF(B37&lt;('2. Inputs and results'!$C$23+1),F36+E37," ")</f>
        <v xml:space="preserve"> </v>
      </c>
      <c r="G37" s="4" t="str">
        <f>IF(A37&lt;('2. Inputs and results'!$C$23+1),G36*(1+'2. Inputs and results'!$C$48)," ")</f>
        <v xml:space="preserve"> </v>
      </c>
      <c r="H37" s="4" t="str">
        <f>IF(A37&lt;('2. Inputs and results'!$C$23+1),H36*(1+'2. Inputs and results'!$C$60)," ")</f>
        <v xml:space="preserve"> </v>
      </c>
      <c r="I37" s="4" t="str">
        <f>IF(A37&lt;('2. Inputs and results'!$C$23+1),I36*(1+'2. Inputs and results'!$C$36)," ")</f>
        <v xml:space="preserve"> </v>
      </c>
      <c r="J37" s="4" t="str">
        <f>IF(A37&lt;('2. Inputs and results'!$C$23+1),J36*(1+'2. Inputs and results'!$C$70)," ")</f>
        <v xml:space="preserve"> </v>
      </c>
      <c r="K37" s="4" t="e">
        <f>IF(A37&lt;('2. Inputs and results'!$C$23+1),K36+(G37+I37+H37+J37),NA())</f>
        <v>#N/A</v>
      </c>
      <c r="L37" s="4" t="e">
        <f>IF(A37&lt;('2. Inputs and results'!$C$23+1),L36,NA())</f>
        <v>#N/A</v>
      </c>
      <c r="M37" s="4" t="str">
        <f>IF(A37&lt;('2. Inputs and results'!$C$23+1),'2. Inputs and results'!$C$77*'2. Inputs and results'!$C$75," ")</f>
        <v xml:space="preserve"> </v>
      </c>
      <c r="N37" s="4" t="str">
        <f>IF(A37&lt;('2. Inputs and results'!$C$23+1),M37/((1+$P$2)^A37)," ")</f>
        <v xml:space="preserve"> </v>
      </c>
      <c r="O37" s="4" t="str">
        <f>IF(A37&lt;('2. Inputs and results'!$C$23+1),'2. Inputs and results'!$C$75*'2. Inputs and results'!$C$77+O36," ")</f>
        <v xml:space="preserve"> </v>
      </c>
      <c r="P37" s="4" t="str">
        <f>IF(A37&lt;('2. Inputs and results'!$C$23+1),(G37+I37+H37+J37)/((1+$P$2)^A37)," ")</f>
        <v xml:space="preserve"> </v>
      </c>
      <c r="Q37" s="4" t="str">
        <f>IF(A37&lt;('2. Inputs and results'!$C$23+1),Q36+P37," ")</f>
        <v xml:space="preserve"> </v>
      </c>
      <c r="R37" s="4" t="e">
        <f>IF(A37&lt;('2. Inputs and results'!$C$23+1),R36+G37+I37+H37+J37+T37-$V$6,NA())</f>
        <v>#N/A</v>
      </c>
      <c r="S37" s="4" t="str">
        <f>IF(A37&lt;('2. Inputs and results'!$C$23+1),'2. Inputs and results'!$C$81*(R36)," ")</f>
        <v xml:space="preserve"> </v>
      </c>
      <c r="T37" s="4">
        <f t="shared" si="1"/>
        <v>0</v>
      </c>
      <c r="U37" s="4" t="e">
        <f>IF(A37&lt;('2. Inputs and results'!$C$23+1),U36+((G37+I37+H37+J37-$V$6+T37)/((1+$P$2)^A37)),NA())</f>
        <v>#N/A</v>
      </c>
      <c r="V37" s="4" t="str">
        <f>IF(A37&lt;('2. Inputs and results'!$C$23+1),V36+('2. Inputs and results'!$C$77*'2. Inputs and results'!$C$75)," ")</f>
        <v xml:space="preserve"> </v>
      </c>
      <c r="W37" s="4" t="e">
        <f>IF(A37&lt;('2. Inputs and results'!$C$23+1),W36+C37+Y37-$V$6,NA())</f>
        <v>#N/A</v>
      </c>
      <c r="X37" s="4" t="str">
        <f>IF(A37&lt;('2. Inputs and results'!$C$23+1),'2. Inputs and results'!$C$81*(W36)," ")</f>
        <v xml:space="preserve"> </v>
      </c>
      <c r="Y37" s="4">
        <f t="shared" si="2"/>
        <v>0</v>
      </c>
      <c r="Z37" s="4" t="e">
        <f>IF(A37&lt;('2. Inputs and results'!$C$23+1),Z36+((C37-$V$6+Y37)/((1+$P$2)^A37)),NA())</f>
        <v>#N/A</v>
      </c>
      <c r="AA37" s="4" t="str">
        <f>IF(A37&lt;('2. Inputs and results'!$C$23+1),AA36+G37+I37+H37+T37-$V$6," ")</f>
        <v xml:space="preserve"> </v>
      </c>
      <c r="AB37" s="11" t="e">
        <f>IF(A37&lt;('2. Inputs and results'!$C$23+1),AA37/L37,NA())</f>
        <v>#N/A</v>
      </c>
      <c r="AC37" s="12" t="str">
        <f>IF(A37&lt;('2. Inputs and results'!$C$23+1),AC36+C37+Y37-$V$6," ")</f>
        <v xml:space="preserve"> </v>
      </c>
      <c r="AD37" s="11" t="e">
        <f>IF(A37&lt;('2. Inputs and results'!$C$23+1),AC37/L37,NA())</f>
        <v>#N/A</v>
      </c>
      <c r="AE37" t="str">
        <f>IF(A37&lt;('2. Inputs and results'!$C$23+1),-'2. Inputs and results'!$C$124*A37," ")</f>
        <v xml:space="preserve"> </v>
      </c>
      <c r="AF37" t="e">
        <f>IF(A37&lt;('2. Inputs and results'!$C$23+1),AE37/1000,NA())</f>
        <v>#N/A</v>
      </c>
    </row>
    <row r="38" spans="1:32">
      <c r="A38">
        <f t="shared" si="0"/>
        <v>33</v>
      </c>
      <c r="B38" t="str">
        <f>IF(A38&lt;('2. Inputs and results'!$C$23+1),A38," ")</f>
        <v xml:space="preserve"> </v>
      </c>
      <c r="C38" s="4" t="str">
        <f>IF(A38&lt;('2. Inputs and results'!$C$23+1),'2. Inputs and results'!$C$101+'2. Inputs and results'!$C$103," ")</f>
        <v xml:space="preserve"> </v>
      </c>
      <c r="D38" s="4" t="e">
        <f>IF(A38&lt;('2. Inputs and results'!$C$23+1),D37+C38,NA())</f>
        <v>#N/A</v>
      </c>
      <c r="E38" s="4" t="str">
        <f>IF(A38&lt;('2. Inputs and results'!$C$23+1),C38/((1+$P$2)^A38)," ")</f>
        <v xml:space="preserve"> </v>
      </c>
      <c r="F38" s="4" t="str">
        <f>IF(B38&lt;('2. Inputs and results'!$C$23+1),F37+E38," ")</f>
        <v xml:space="preserve"> </v>
      </c>
      <c r="G38" s="4" t="str">
        <f>IF(A38&lt;('2. Inputs and results'!$C$23+1),G37*(1+'2. Inputs and results'!$C$48)," ")</f>
        <v xml:space="preserve"> </v>
      </c>
      <c r="H38" s="4" t="str">
        <f>IF(A38&lt;('2. Inputs and results'!$C$23+1),H37*(1+'2. Inputs and results'!$C$60)," ")</f>
        <v xml:space="preserve"> </v>
      </c>
      <c r="I38" s="4" t="str">
        <f>IF(A38&lt;('2. Inputs and results'!$C$23+1),I37*(1+'2. Inputs and results'!$C$36)," ")</f>
        <v xml:space="preserve"> </v>
      </c>
      <c r="J38" s="4" t="str">
        <f>IF(A38&lt;('2. Inputs and results'!$C$23+1),J37*(1+'2. Inputs and results'!$C$70)," ")</f>
        <v xml:space="preserve"> </v>
      </c>
      <c r="K38" s="4" t="e">
        <f>IF(A38&lt;('2. Inputs and results'!$C$23+1),K37+(G38+I38+H38+J38),NA())</f>
        <v>#N/A</v>
      </c>
      <c r="L38" s="4" t="e">
        <f>IF(A38&lt;('2. Inputs and results'!$C$23+1),L37,NA())</f>
        <v>#N/A</v>
      </c>
      <c r="M38" s="4" t="str">
        <f>IF(A38&lt;('2. Inputs and results'!$C$23+1),'2. Inputs and results'!$C$77*'2. Inputs and results'!$C$75," ")</f>
        <v xml:space="preserve"> </v>
      </c>
      <c r="N38" s="4" t="str">
        <f>IF(A38&lt;('2. Inputs and results'!$C$23+1),M38/((1+$P$2)^A38)," ")</f>
        <v xml:space="preserve"> </v>
      </c>
      <c r="O38" s="4" t="str">
        <f>IF(A38&lt;('2. Inputs and results'!$C$23+1),'2. Inputs and results'!$C$75*'2. Inputs and results'!$C$77+O37," ")</f>
        <v xml:space="preserve"> </v>
      </c>
      <c r="P38" s="4" t="str">
        <f>IF(A38&lt;('2. Inputs and results'!$C$23+1),(G38+I38+H38+J38)/((1+$P$2)^A38)," ")</f>
        <v xml:space="preserve"> </v>
      </c>
      <c r="Q38" s="4" t="str">
        <f>IF(A38&lt;('2. Inputs and results'!$C$23+1),Q37+P38," ")</f>
        <v xml:space="preserve"> </v>
      </c>
      <c r="R38" s="4" t="e">
        <f>IF(A38&lt;('2. Inputs and results'!$C$23+1),R37+G38+I38+H38+J38+T38-$V$6,NA())</f>
        <v>#N/A</v>
      </c>
      <c r="S38" s="4" t="str">
        <f>IF(A38&lt;('2. Inputs and results'!$C$23+1),'2. Inputs and results'!$C$81*(R37)," ")</f>
        <v xml:space="preserve"> </v>
      </c>
      <c r="T38" s="4">
        <f t="shared" si="1"/>
        <v>0</v>
      </c>
      <c r="U38" s="4" t="e">
        <f>IF(A38&lt;('2. Inputs and results'!$C$23+1),U37+((G38+I38+H38+J38-$V$6+T38)/((1+$P$2)^A38)),NA())</f>
        <v>#N/A</v>
      </c>
      <c r="V38" s="4" t="str">
        <f>IF(A38&lt;('2. Inputs and results'!$C$23+1),V37+('2. Inputs and results'!$C$77*'2. Inputs and results'!$C$75)," ")</f>
        <v xml:space="preserve"> </v>
      </c>
      <c r="W38" s="4" t="e">
        <f>IF(A38&lt;('2. Inputs and results'!$C$23+1),W37+C38+Y38-$V$6,NA())</f>
        <v>#N/A</v>
      </c>
      <c r="X38" s="4" t="str">
        <f>IF(A38&lt;('2. Inputs and results'!$C$23+1),'2. Inputs and results'!$C$81*(W37)," ")</f>
        <v xml:space="preserve"> </v>
      </c>
      <c r="Y38" s="4">
        <f t="shared" si="2"/>
        <v>0</v>
      </c>
      <c r="Z38" s="4" t="e">
        <f>IF(A38&lt;('2. Inputs and results'!$C$23+1),Z37+((C38-$V$6+Y38)/((1+$P$2)^A38)),NA())</f>
        <v>#N/A</v>
      </c>
      <c r="AA38" s="4" t="str">
        <f>IF(A38&lt;('2. Inputs and results'!$C$23+1),AA37+G38+I38+H38+T38-$V$6," ")</f>
        <v xml:space="preserve"> </v>
      </c>
      <c r="AB38" s="11" t="e">
        <f>IF(A38&lt;('2. Inputs and results'!$C$23+1),AA38/L38,NA())</f>
        <v>#N/A</v>
      </c>
      <c r="AC38" s="12" t="str">
        <f>IF(A38&lt;('2. Inputs and results'!$C$23+1),AC37+C38+Y38-$V$6," ")</f>
        <v xml:space="preserve"> </v>
      </c>
      <c r="AD38" s="11" t="e">
        <f>IF(A38&lt;('2. Inputs and results'!$C$23+1),AC38/L38,NA())</f>
        <v>#N/A</v>
      </c>
      <c r="AE38" t="str">
        <f>IF(A38&lt;('2. Inputs and results'!$C$23+1),-'2. Inputs and results'!$C$124*A38," ")</f>
        <v xml:space="preserve"> </v>
      </c>
      <c r="AF38" t="e">
        <f>IF(A38&lt;('2. Inputs and results'!$C$23+1),AE38/1000,NA())</f>
        <v>#N/A</v>
      </c>
    </row>
    <row r="39" spans="1:32">
      <c r="A39">
        <f t="shared" si="0"/>
        <v>34</v>
      </c>
      <c r="B39" t="str">
        <f>IF(A39&lt;('2. Inputs and results'!$C$23+1),A39," ")</f>
        <v xml:space="preserve"> </v>
      </c>
      <c r="C39" s="4" t="str">
        <f>IF(A39&lt;('2. Inputs and results'!$C$23+1),'2. Inputs and results'!$C$101+'2. Inputs and results'!$C$103," ")</f>
        <v xml:space="preserve"> </v>
      </c>
      <c r="D39" s="4" t="e">
        <f>IF(A39&lt;('2. Inputs and results'!$C$23+1),D38+C39,NA())</f>
        <v>#N/A</v>
      </c>
      <c r="E39" s="4" t="str">
        <f>IF(A39&lt;('2. Inputs and results'!$C$23+1),C39/((1+$P$2)^A39)," ")</f>
        <v xml:space="preserve"> </v>
      </c>
      <c r="F39" s="4" t="str">
        <f>IF(B39&lt;('2. Inputs and results'!$C$23+1),F38+E39," ")</f>
        <v xml:space="preserve"> </v>
      </c>
      <c r="G39" s="4" t="str">
        <f>IF(A39&lt;('2. Inputs and results'!$C$23+1),G38*(1+'2. Inputs and results'!$C$48)," ")</f>
        <v xml:space="preserve"> </v>
      </c>
      <c r="H39" s="4" t="str">
        <f>IF(A39&lt;('2. Inputs and results'!$C$23+1),H38*(1+'2. Inputs and results'!$C$60)," ")</f>
        <v xml:space="preserve"> </v>
      </c>
      <c r="I39" s="4" t="str">
        <f>IF(A39&lt;('2. Inputs and results'!$C$23+1),I38*(1+'2. Inputs and results'!$C$36)," ")</f>
        <v xml:space="preserve"> </v>
      </c>
      <c r="J39" s="4" t="str">
        <f>IF(A39&lt;('2. Inputs and results'!$C$23+1),J38*(1+'2. Inputs and results'!$C$70)," ")</f>
        <v xml:space="preserve"> </v>
      </c>
      <c r="K39" s="4" t="e">
        <f>IF(A39&lt;('2. Inputs and results'!$C$23+1),K38+(G39+I39+H39+J39),NA())</f>
        <v>#N/A</v>
      </c>
      <c r="L39" s="4" t="e">
        <f>IF(A39&lt;('2. Inputs and results'!$C$23+1),L38,NA())</f>
        <v>#N/A</v>
      </c>
      <c r="M39" s="4" t="str">
        <f>IF(A39&lt;('2. Inputs and results'!$C$23+1),'2. Inputs and results'!$C$77*'2. Inputs and results'!$C$75," ")</f>
        <v xml:space="preserve"> </v>
      </c>
      <c r="N39" s="4" t="str">
        <f>IF(A39&lt;('2. Inputs and results'!$C$23+1),M39/((1+$P$2)^A39)," ")</f>
        <v xml:space="preserve"> </v>
      </c>
      <c r="O39" s="4" t="str">
        <f>IF(A39&lt;('2. Inputs and results'!$C$23+1),'2. Inputs and results'!$C$75*'2. Inputs and results'!$C$77+O38," ")</f>
        <v xml:space="preserve"> </v>
      </c>
      <c r="P39" s="4" t="str">
        <f>IF(A39&lt;('2. Inputs and results'!$C$23+1),(G39+I39+H39+J39)/((1+$P$2)^A39)," ")</f>
        <v xml:space="preserve"> </v>
      </c>
      <c r="Q39" s="4" t="str">
        <f>IF(A39&lt;('2. Inputs and results'!$C$23+1),Q38+P39," ")</f>
        <v xml:space="preserve"> </v>
      </c>
      <c r="R39" s="4" t="e">
        <f>IF(A39&lt;('2. Inputs and results'!$C$23+1),R38+G39+I39+H39+J39+T39-$V$6,NA())</f>
        <v>#N/A</v>
      </c>
      <c r="S39" s="4" t="str">
        <f>IF(A39&lt;('2. Inputs and results'!$C$23+1),'2. Inputs and results'!$C$81*(R38)," ")</f>
        <v xml:space="preserve"> </v>
      </c>
      <c r="T39" s="4">
        <f t="shared" si="1"/>
        <v>0</v>
      </c>
      <c r="U39" s="4" t="e">
        <f>IF(A39&lt;('2. Inputs and results'!$C$23+1),U38+((G39+I39+H39+J39-$V$6+T39)/((1+$P$2)^A39)),NA())</f>
        <v>#N/A</v>
      </c>
      <c r="V39" s="4" t="str">
        <f>IF(A39&lt;('2. Inputs and results'!$C$23+1),V38+('2. Inputs and results'!$C$77*'2. Inputs and results'!$C$75)," ")</f>
        <v xml:space="preserve"> </v>
      </c>
      <c r="W39" s="4" t="e">
        <f>IF(A39&lt;('2. Inputs and results'!$C$23+1),W38+C39+Y39-$V$6,NA())</f>
        <v>#N/A</v>
      </c>
      <c r="X39" s="4" t="str">
        <f>IF(A39&lt;('2. Inputs and results'!$C$23+1),'2. Inputs and results'!$C$81*(W38)," ")</f>
        <v xml:space="preserve"> </v>
      </c>
      <c r="Y39" s="4">
        <f t="shared" si="2"/>
        <v>0</v>
      </c>
      <c r="Z39" s="4" t="e">
        <f>IF(A39&lt;('2. Inputs and results'!$C$23+1),Z38+((C39-$V$6+Y39)/((1+$P$2)^A39)),NA())</f>
        <v>#N/A</v>
      </c>
      <c r="AA39" s="4" t="str">
        <f>IF(A39&lt;('2. Inputs and results'!$C$23+1),AA38+G39+I39+H39+T39-$V$6," ")</f>
        <v xml:space="preserve"> </v>
      </c>
      <c r="AB39" s="11" t="e">
        <f>IF(A39&lt;('2. Inputs and results'!$C$23+1),AA39/L39,NA())</f>
        <v>#N/A</v>
      </c>
      <c r="AC39" s="12" t="str">
        <f>IF(A39&lt;('2. Inputs and results'!$C$23+1),AC38+C39+Y39-$V$6," ")</f>
        <v xml:space="preserve"> </v>
      </c>
      <c r="AD39" s="11" t="e">
        <f>IF(A39&lt;('2. Inputs and results'!$C$23+1),AC39/L39,NA())</f>
        <v>#N/A</v>
      </c>
      <c r="AE39" t="str">
        <f>IF(A39&lt;('2. Inputs and results'!$C$23+1),-'2. Inputs and results'!$C$124*A39," ")</f>
        <v xml:space="preserve"> </v>
      </c>
      <c r="AF39" t="e">
        <f>IF(A39&lt;('2. Inputs and results'!$C$23+1),AE39/1000,NA())</f>
        <v>#N/A</v>
      </c>
    </row>
    <row r="40" spans="1:32">
      <c r="A40">
        <f t="shared" si="0"/>
        <v>35</v>
      </c>
      <c r="B40" t="str">
        <f>IF(A40&lt;('2. Inputs and results'!$C$23+1),A40," ")</f>
        <v xml:space="preserve"> </v>
      </c>
      <c r="C40" s="4" t="str">
        <f>IF(A40&lt;('2. Inputs and results'!$C$23+1),'2. Inputs and results'!$C$101+'2. Inputs and results'!$C$103," ")</f>
        <v xml:space="preserve"> </v>
      </c>
      <c r="D40" s="4" t="e">
        <f>IF(A40&lt;('2. Inputs and results'!$C$23+1),D39+C40,NA())</f>
        <v>#N/A</v>
      </c>
      <c r="E40" s="4" t="str">
        <f>IF(A40&lt;('2. Inputs and results'!$C$23+1),C40/((1+$P$2)^A40)," ")</f>
        <v xml:space="preserve"> </v>
      </c>
      <c r="F40" s="4" t="str">
        <f>IF(B40&lt;('2. Inputs and results'!$C$23+1),F39+E40," ")</f>
        <v xml:space="preserve"> </v>
      </c>
      <c r="G40" s="4" t="str">
        <f>IF(A40&lt;('2. Inputs and results'!$C$23+1),G39*(1+'2. Inputs and results'!$C$48)," ")</f>
        <v xml:space="preserve"> </v>
      </c>
      <c r="H40" s="4" t="str">
        <f>IF(A40&lt;('2. Inputs and results'!$C$23+1),H39*(1+'2. Inputs and results'!$C$60)," ")</f>
        <v xml:space="preserve"> </v>
      </c>
      <c r="I40" s="4" t="str">
        <f>IF(A40&lt;('2. Inputs and results'!$C$23+1),I39*(1+'2. Inputs and results'!$C$36)," ")</f>
        <v xml:space="preserve"> </v>
      </c>
      <c r="J40" s="4" t="str">
        <f>IF(A40&lt;('2. Inputs and results'!$C$23+1),J39*(1+'2. Inputs and results'!$C$70)," ")</f>
        <v xml:space="preserve"> </v>
      </c>
      <c r="K40" s="4" t="e">
        <f>IF(A40&lt;('2. Inputs and results'!$C$23+1),K39+(G40+I40+H40+J40),NA())</f>
        <v>#N/A</v>
      </c>
      <c r="L40" s="4" t="e">
        <f>IF(A40&lt;('2. Inputs and results'!$C$23+1),L39,NA())</f>
        <v>#N/A</v>
      </c>
      <c r="M40" s="4" t="str">
        <f>IF(A40&lt;('2. Inputs and results'!$C$23+1),'2. Inputs and results'!$C$77*'2. Inputs and results'!$C$75," ")</f>
        <v xml:space="preserve"> </v>
      </c>
      <c r="N40" s="4" t="str">
        <f>IF(A40&lt;('2. Inputs and results'!$C$23+1),M40/((1+$P$2)^A40)," ")</f>
        <v xml:space="preserve"> </v>
      </c>
      <c r="O40" s="4" t="str">
        <f>IF(A40&lt;('2. Inputs and results'!$C$23+1),'2. Inputs and results'!$C$75*'2. Inputs and results'!$C$77+O39," ")</f>
        <v xml:space="preserve"> </v>
      </c>
      <c r="P40" s="4" t="str">
        <f>IF(A40&lt;('2. Inputs and results'!$C$23+1),(G40+I40+H40+J40)/((1+$P$2)^A40)," ")</f>
        <v xml:space="preserve"> </v>
      </c>
      <c r="Q40" s="4" t="str">
        <f>IF(A40&lt;('2. Inputs and results'!$C$23+1),Q39+P40," ")</f>
        <v xml:space="preserve"> </v>
      </c>
      <c r="R40" s="4" t="e">
        <f>IF(A40&lt;('2. Inputs and results'!$C$23+1),R39+G40+I40+H40+J40+T40-$V$6,NA())</f>
        <v>#N/A</v>
      </c>
      <c r="S40" s="4" t="str">
        <f>IF(A40&lt;('2. Inputs and results'!$C$23+1),'2. Inputs and results'!$C$81*(R39)," ")</f>
        <v xml:space="preserve"> </v>
      </c>
      <c r="T40" s="4">
        <f t="shared" si="1"/>
        <v>0</v>
      </c>
      <c r="U40" s="4" t="e">
        <f>IF(A40&lt;('2. Inputs and results'!$C$23+1),U39+((G40+I40+H40+J40-$V$6+T40)/((1+$P$2)^A40)),NA())</f>
        <v>#N/A</v>
      </c>
      <c r="V40" s="4" t="str">
        <f>IF(A40&lt;('2. Inputs and results'!$C$23+1),V39+('2. Inputs and results'!$C$77*'2. Inputs and results'!$C$75)," ")</f>
        <v xml:space="preserve"> </v>
      </c>
      <c r="W40" s="4" t="e">
        <f>IF(A40&lt;('2. Inputs and results'!$C$23+1),W39+C40+Y40-$V$6,NA())</f>
        <v>#N/A</v>
      </c>
      <c r="X40" s="4" t="str">
        <f>IF(A40&lt;('2. Inputs and results'!$C$23+1),'2. Inputs and results'!$C$81*(W39)," ")</f>
        <v xml:space="preserve"> </v>
      </c>
      <c r="Y40" s="4">
        <f t="shared" si="2"/>
        <v>0</v>
      </c>
      <c r="Z40" s="4" t="e">
        <f>IF(A40&lt;('2. Inputs and results'!$C$23+1),Z39+((C40-$V$6+Y40)/((1+$P$2)^A40)),NA())</f>
        <v>#N/A</v>
      </c>
      <c r="AA40" s="4" t="str">
        <f>IF(A40&lt;('2. Inputs and results'!$C$23+1),AA39+G40+I40+H40+T40-$V$6," ")</f>
        <v xml:space="preserve"> </v>
      </c>
      <c r="AB40" s="11" t="e">
        <f>IF(A40&lt;('2. Inputs and results'!$C$23+1),AA40/L40,NA())</f>
        <v>#N/A</v>
      </c>
      <c r="AC40" s="12" t="str">
        <f>IF(A40&lt;('2. Inputs and results'!$C$23+1),AC39+C40+Y40-$V$6," ")</f>
        <v xml:space="preserve"> </v>
      </c>
      <c r="AD40" s="11" t="e">
        <f>IF(A40&lt;('2. Inputs and results'!$C$23+1),AC40/L40,NA())</f>
        <v>#N/A</v>
      </c>
      <c r="AE40" t="str">
        <f>IF(A40&lt;('2. Inputs and results'!$C$23+1),-'2. Inputs and results'!$C$124*A40," ")</f>
        <v xml:space="preserve"> </v>
      </c>
      <c r="AF40" t="e">
        <f>IF(A40&lt;('2. Inputs and results'!$C$23+1),AE40/1000,NA())</f>
        <v>#N/A</v>
      </c>
    </row>
    <row r="41" spans="1:32">
      <c r="A41">
        <f t="shared" si="0"/>
        <v>36</v>
      </c>
      <c r="B41" t="str">
        <f>IF(A41&lt;('2. Inputs and results'!$C$23+1),A41," ")</f>
        <v xml:space="preserve"> </v>
      </c>
      <c r="C41" s="4" t="str">
        <f>IF(A41&lt;('2. Inputs and results'!$C$23+1),'2. Inputs and results'!$C$101+'2. Inputs and results'!$C$103," ")</f>
        <v xml:space="preserve"> </v>
      </c>
      <c r="D41" s="4" t="e">
        <f>IF(A41&lt;('2. Inputs and results'!$C$23+1),D40+C41,NA())</f>
        <v>#N/A</v>
      </c>
      <c r="E41" s="4" t="str">
        <f>IF(A41&lt;('2. Inputs and results'!$C$23+1),C41/((1+$P$2)^A41)," ")</f>
        <v xml:space="preserve"> </v>
      </c>
      <c r="F41" s="4" t="str">
        <f>IF(B41&lt;('2. Inputs and results'!$C$23+1),F40+E41," ")</f>
        <v xml:space="preserve"> </v>
      </c>
      <c r="G41" s="4" t="str">
        <f>IF(A41&lt;('2. Inputs and results'!$C$23+1),G40*(1+'2. Inputs and results'!$C$48)," ")</f>
        <v xml:space="preserve"> </v>
      </c>
      <c r="H41" s="4" t="str">
        <f>IF(A41&lt;('2. Inputs and results'!$C$23+1),H40*(1+'2. Inputs and results'!$C$60)," ")</f>
        <v xml:space="preserve"> </v>
      </c>
      <c r="I41" s="4" t="str">
        <f>IF(A41&lt;('2. Inputs and results'!$C$23+1),I40*(1+'2. Inputs and results'!$C$36)," ")</f>
        <v xml:space="preserve"> </v>
      </c>
      <c r="J41" s="4" t="str">
        <f>IF(A41&lt;('2. Inputs and results'!$C$23+1),J40*(1+'2. Inputs and results'!$C$70)," ")</f>
        <v xml:space="preserve"> </v>
      </c>
      <c r="K41" s="4" t="e">
        <f>IF(A41&lt;('2. Inputs and results'!$C$23+1),K40+(G41+I41+H41+J41),NA())</f>
        <v>#N/A</v>
      </c>
      <c r="L41" s="4" t="e">
        <f>IF(A41&lt;('2. Inputs and results'!$C$23+1),L40,NA())</f>
        <v>#N/A</v>
      </c>
      <c r="M41" s="4" t="str">
        <f>IF(A41&lt;('2. Inputs and results'!$C$23+1),'2. Inputs and results'!$C$77*'2. Inputs and results'!$C$75," ")</f>
        <v xml:space="preserve"> </v>
      </c>
      <c r="N41" s="4" t="str">
        <f>IF(A41&lt;('2. Inputs and results'!$C$23+1),M41/((1+$P$2)^A41)," ")</f>
        <v xml:space="preserve"> </v>
      </c>
      <c r="O41" s="4" t="str">
        <f>IF(A41&lt;('2. Inputs and results'!$C$23+1),'2. Inputs and results'!$C$75*'2. Inputs and results'!$C$77+O40," ")</f>
        <v xml:space="preserve"> </v>
      </c>
      <c r="P41" s="4" t="str">
        <f>IF(A41&lt;('2. Inputs and results'!$C$23+1),(G41+I41+H41+J41)/((1+$P$2)^A41)," ")</f>
        <v xml:space="preserve"> </v>
      </c>
      <c r="Q41" s="4" t="str">
        <f>IF(A41&lt;('2. Inputs and results'!$C$23+1),Q40+P41," ")</f>
        <v xml:space="preserve"> </v>
      </c>
      <c r="R41" s="4" t="e">
        <f>IF(A41&lt;('2. Inputs and results'!$C$23+1),R40+G41+I41+H41+J41+T41-$V$6,NA())</f>
        <v>#N/A</v>
      </c>
      <c r="S41" s="4" t="str">
        <f>IF(A41&lt;('2. Inputs and results'!$C$23+1),'2. Inputs and results'!$C$81*(R40)," ")</f>
        <v xml:space="preserve"> </v>
      </c>
      <c r="T41" s="4">
        <f t="shared" si="1"/>
        <v>0</v>
      </c>
      <c r="U41" s="4" t="e">
        <f>IF(A41&lt;('2. Inputs and results'!$C$23+1),U40+((G41+I41+H41+J41-$V$6+T41)/((1+$P$2)^A41)),NA())</f>
        <v>#N/A</v>
      </c>
      <c r="V41" s="4" t="str">
        <f>IF(A41&lt;('2. Inputs and results'!$C$23+1),V40+('2. Inputs and results'!$C$77*'2. Inputs and results'!$C$75)," ")</f>
        <v xml:space="preserve"> </v>
      </c>
      <c r="W41" s="4" t="e">
        <f>IF(A41&lt;('2. Inputs and results'!$C$23+1),W40+C41+Y41-$V$6,NA())</f>
        <v>#N/A</v>
      </c>
      <c r="X41" s="4" t="str">
        <f>IF(A41&lt;('2. Inputs and results'!$C$23+1),'2. Inputs and results'!$C$81*(W40)," ")</f>
        <v xml:space="preserve"> </v>
      </c>
      <c r="Y41" s="4">
        <f t="shared" si="2"/>
        <v>0</v>
      </c>
      <c r="Z41" s="4" t="e">
        <f>IF(A41&lt;('2. Inputs and results'!$C$23+1),Z40+((C41-$V$6+Y41)/((1+$P$2)^A41)),NA())</f>
        <v>#N/A</v>
      </c>
      <c r="AA41" s="4" t="str">
        <f>IF(A41&lt;('2. Inputs and results'!$C$23+1),AA40+G41+I41+H41+T41-$V$6," ")</f>
        <v xml:space="preserve"> </v>
      </c>
      <c r="AB41" s="11" t="e">
        <f>IF(A41&lt;('2. Inputs and results'!$C$23+1),AA41/L41,NA())</f>
        <v>#N/A</v>
      </c>
      <c r="AC41" s="12" t="str">
        <f>IF(A41&lt;('2. Inputs and results'!$C$23+1),AC40+C41+Y41-$V$6," ")</f>
        <v xml:space="preserve"> </v>
      </c>
      <c r="AD41" s="11" t="e">
        <f>IF(A41&lt;('2. Inputs and results'!$C$23+1),AC41/L41,NA())</f>
        <v>#N/A</v>
      </c>
      <c r="AE41" t="str">
        <f>IF(A41&lt;('2. Inputs and results'!$C$23+1),-'2. Inputs and results'!$C$124*A41," ")</f>
        <v xml:space="preserve"> </v>
      </c>
      <c r="AF41" t="e">
        <f>IF(A41&lt;('2. Inputs and results'!$C$23+1),AE41/1000,NA())</f>
        <v>#N/A</v>
      </c>
    </row>
    <row r="42" spans="1:32">
      <c r="A42">
        <f t="shared" si="0"/>
        <v>37</v>
      </c>
      <c r="B42" t="str">
        <f>IF(A42&lt;('2. Inputs and results'!$C$23+1),A42," ")</f>
        <v xml:space="preserve"> </v>
      </c>
      <c r="C42" s="4" t="str">
        <f>IF(A42&lt;('2. Inputs and results'!$C$23+1),'2. Inputs and results'!$C$101+'2. Inputs and results'!$C$103," ")</f>
        <v xml:space="preserve"> </v>
      </c>
      <c r="D42" s="4" t="e">
        <f>IF(A42&lt;('2. Inputs and results'!$C$23+1),D41+C42,NA())</f>
        <v>#N/A</v>
      </c>
      <c r="E42" s="4" t="str">
        <f>IF(A42&lt;('2. Inputs and results'!$C$23+1),C42/((1+$P$2)^A42)," ")</f>
        <v xml:space="preserve"> </v>
      </c>
      <c r="F42" s="4" t="str">
        <f>IF(B42&lt;('2. Inputs and results'!$C$23+1),F41+E42," ")</f>
        <v xml:space="preserve"> </v>
      </c>
      <c r="G42" s="4" t="str">
        <f>IF(A42&lt;('2. Inputs and results'!$C$23+1),G41*(1+'2. Inputs and results'!$C$48)," ")</f>
        <v xml:space="preserve"> </v>
      </c>
      <c r="H42" s="4" t="str">
        <f>IF(A42&lt;('2. Inputs and results'!$C$23+1),H41*(1+'2. Inputs and results'!$C$60)," ")</f>
        <v xml:space="preserve"> </v>
      </c>
      <c r="I42" s="4" t="str">
        <f>IF(A42&lt;('2. Inputs and results'!$C$23+1),I41*(1+'2. Inputs and results'!$C$36)," ")</f>
        <v xml:space="preserve"> </v>
      </c>
      <c r="J42" s="4" t="str">
        <f>IF(A42&lt;('2. Inputs and results'!$C$23+1),J41*(1+'2. Inputs and results'!$C$70)," ")</f>
        <v xml:space="preserve"> </v>
      </c>
      <c r="K42" s="4" t="e">
        <f>IF(A42&lt;('2. Inputs and results'!$C$23+1),K41+(G42+I42+H42+J42),NA())</f>
        <v>#N/A</v>
      </c>
      <c r="L42" s="4" t="e">
        <f>IF(A42&lt;('2. Inputs and results'!$C$23+1),L41,NA())</f>
        <v>#N/A</v>
      </c>
      <c r="M42" s="4" t="str">
        <f>IF(A42&lt;('2. Inputs and results'!$C$23+1),'2. Inputs and results'!$C$77*'2. Inputs and results'!$C$75," ")</f>
        <v xml:space="preserve"> </v>
      </c>
      <c r="N42" s="4" t="str">
        <f>IF(A42&lt;('2. Inputs and results'!$C$23+1),M42/((1+$P$2)^A42)," ")</f>
        <v xml:space="preserve"> </v>
      </c>
      <c r="O42" s="4" t="str">
        <f>IF(A42&lt;('2. Inputs and results'!$C$23+1),'2. Inputs and results'!$C$75*'2. Inputs and results'!$C$77+O41," ")</f>
        <v xml:space="preserve"> </v>
      </c>
      <c r="P42" s="4" t="str">
        <f>IF(A42&lt;('2. Inputs and results'!$C$23+1),(G42+I42+H42+J42)/((1+$P$2)^A42)," ")</f>
        <v xml:space="preserve"> </v>
      </c>
      <c r="Q42" s="4" t="str">
        <f>IF(A42&lt;('2. Inputs and results'!$C$23+1),Q41+P42," ")</f>
        <v xml:space="preserve"> </v>
      </c>
      <c r="R42" s="4" t="e">
        <f>IF(A42&lt;('2. Inputs and results'!$C$23+1),R41+G42+I42+H42+J42+T42-$V$6,NA())</f>
        <v>#N/A</v>
      </c>
      <c r="S42" s="4" t="str">
        <f>IF(A42&lt;('2. Inputs and results'!$C$23+1),'2. Inputs and results'!$C$81*(R41)," ")</f>
        <v xml:space="preserve"> </v>
      </c>
      <c r="T42" s="4">
        <f t="shared" si="1"/>
        <v>0</v>
      </c>
      <c r="U42" s="4" t="e">
        <f>IF(A42&lt;('2. Inputs and results'!$C$23+1),U41+((G42+I42+H42+J42-$V$6+T42)/((1+$P$2)^A42)),NA())</f>
        <v>#N/A</v>
      </c>
      <c r="V42" s="4" t="str">
        <f>IF(A42&lt;('2. Inputs and results'!$C$23+1),V41+('2. Inputs and results'!$C$77*'2. Inputs and results'!$C$75)," ")</f>
        <v xml:space="preserve"> </v>
      </c>
      <c r="W42" s="4" t="e">
        <f>IF(A42&lt;('2. Inputs and results'!$C$23+1),W41+C42+Y42-$V$6,NA())</f>
        <v>#N/A</v>
      </c>
      <c r="X42" s="4" t="str">
        <f>IF(A42&lt;('2. Inputs and results'!$C$23+1),'2. Inputs and results'!$C$81*(W41)," ")</f>
        <v xml:space="preserve"> </v>
      </c>
      <c r="Y42" s="4">
        <f t="shared" si="2"/>
        <v>0</v>
      </c>
      <c r="Z42" s="4" t="e">
        <f>IF(A42&lt;('2. Inputs and results'!$C$23+1),Z41+((C42-$V$6+Y42)/((1+$P$2)^A42)),NA())</f>
        <v>#N/A</v>
      </c>
      <c r="AA42" s="4" t="str">
        <f>IF(A42&lt;('2. Inputs and results'!$C$23+1),AA41+G42+I42+H42+T42-$V$6," ")</f>
        <v xml:space="preserve"> </v>
      </c>
      <c r="AB42" s="11" t="e">
        <f>IF(A42&lt;('2. Inputs and results'!$C$23+1),AA42/L42,NA())</f>
        <v>#N/A</v>
      </c>
      <c r="AC42" s="12" t="str">
        <f>IF(A42&lt;('2. Inputs and results'!$C$23+1),AC41+C42+Y42-$V$6," ")</f>
        <v xml:space="preserve"> </v>
      </c>
      <c r="AD42" s="11" t="e">
        <f>IF(A42&lt;('2. Inputs and results'!$C$23+1),AC42/L42,NA())</f>
        <v>#N/A</v>
      </c>
      <c r="AE42" t="str">
        <f>IF(A42&lt;('2. Inputs and results'!$C$23+1),-'2. Inputs and results'!$C$124*A42," ")</f>
        <v xml:space="preserve"> </v>
      </c>
      <c r="AF42" t="e">
        <f>IF(A42&lt;('2. Inputs and results'!$C$23+1),AE42/1000,NA())</f>
        <v>#N/A</v>
      </c>
    </row>
    <row r="43" spans="1:32">
      <c r="A43">
        <f t="shared" si="0"/>
        <v>38</v>
      </c>
      <c r="B43" t="str">
        <f>IF(A43&lt;('2. Inputs and results'!$C$23+1),A43," ")</f>
        <v xml:space="preserve"> </v>
      </c>
      <c r="C43" s="4" t="str">
        <f>IF(A43&lt;('2. Inputs and results'!$C$23+1),'2. Inputs and results'!$C$101+'2. Inputs and results'!$C$103," ")</f>
        <v xml:space="preserve"> </v>
      </c>
      <c r="D43" s="4" t="e">
        <f>IF(A43&lt;('2. Inputs and results'!$C$23+1),D42+C43,NA())</f>
        <v>#N/A</v>
      </c>
      <c r="E43" s="4" t="str">
        <f>IF(A43&lt;('2. Inputs and results'!$C$23+1),C43/((1+$P$2)^A43)," ")</f>
        <v xml:space="preserve"> </v>
      </c>
      <c r="F43" s="4" t="str">
        <f>IF(B43&lt;('2. Inputs and results'!$C$23+1),F42+E43," ")</f>
        <v xml:space="preserve"> </v>
      </c>
      <c r="G43" s="4" t="str">
        <f>IF(A43&lt;('2. Inputs and results'!$C$23+1),G42*(1+'2. Inputs and results'!$C$48)," ")</f>
        <v xml:space="preserve"> </v>
      </c>
      <c r="H43" s="4" t="str">
        <f>IF(A43&lt;('2. Inputs and results'!$C$23+1),H42*(1+'2. Inputs and results'!$C$60)," ")</f>
        <v xml:space="preserve"> </v>
      </c>
      <c r="I43" s="4" t="str">
        <f>IF(A43&lt;('2. Inputs and results'!$C$23+1),I42*(1+'2. Inputs and results'!$C$36)," ")</f>
        <v xml:space="preserve"> </v>
      </c>
      <c r="J43" s="4" t="str">
        <f>IF(A43&lt;('2. Inputs and results'!$C$23+1),J42*(1+'2. Inputs and results'!$C$70)," ")</f>
        <v xml:space="preserve"> </v>
      </c>
      <c r="K43" s="4" t="e">
        <f>IF(A43&lt;('2. Inputs and results'!$C$23+1),K42+(G43+I43+H43+J43),NA())</f>
        <v>#N/A</v>
      </c>
      <c r="L43" s="4" t="e">
        <f>IF(A43&lt;('2. Inputs and results'!$C$23+1),L42,NA())</f>
        <v>#N/A</v>
      </c>
      <c r="M43" s="4" t="str">
        <f>IF(A43&lt;('2. Inputs and results'!$C$23+1),'2. Inputs and results'!$C$77*'2. Inputs and results'!$C$75," ")</f>
        <v xml:space="preserve"> </v>
      </c>
      <c r="N43" s="4" t="str">
        <f>IF(A43&lt;('2. Inputs and results'!$C$23+1),M43/((1+$P$2)^A43)," ")</f>
        <v xml:space="preserve"> </v>
      </c>
      <c r="O43" s="4" t="str">
        <f>IF(A43&lt;('2. Inputs and results'!$C$23+1),'2. Inputs and results'!$C$75*'2. Inputs and results'!$C$77+O42," ")</f>
        <v xml:space="preserve"> </v>
      </c>
      <c r="P43" s="4" t="str">
        <f>IF(A43&lt;('2. Inputs and results'!$C$23+1),(G43+I43+H43+J43)/((1+$P$2)^A43)," ")</f>
        <v xml:space="preserve"> </v>
      </c>
      <c r="Q43" s="4" t="str">
        <f>IF(A43&lt;('2. Inputs and results'!$C$23+1),Q42+P43," ")</f>
        <v xml:space="preserve"> </v>
      </c>
      <c r="R43" s="4" t="e">
        <f>IF(A43&lt;('2. Inputs and results'!$C$23+1),R42+G43+I43+H43+J43+T43-$V$6,NA())</f>
        <v>#N/A</v>
      </c>
      <c r="S43" s="4" t="str">
        <f>IF(A43&lt;('2. Inputs and results'!$C$23+1),'2. Inputs and results'!$C$81*(R42)," ")</f>
        <v xml:space="preserve"> </v>
      </c>
      <c r="T43" s="4">
        <f t="shared" si="1"/>
        <v>0</v>
      </c>
      <c r="U43" s="4" t="e">
        <f>IF(A43&lt;('2. Inputs and results'!$C$23+1),U42+((G43+I43+H43+J43-$V$6+T43)/((1+$P$2)^A43)),NA())</f>
        <v>#N/A</v>
      </c>
      <c r="V43" s="4" t="str">
        <f>IF(A43&lt;('2. Inputs and results'!$C$23+1),V42+('2. Inputs and results'!$C$77*'2. Inputs and results'!$C$75)," ")</f>
        <v xml:space="preserve"> </v>
      </c>
      <c r="W43" s="4" t="e">
        <f>IF(A43&lt;('2. Inputs and results'!$C$23+1),W42+C43+Y43-$V$6,NA())</f>
        <v>#N/A</v>
      </c>
      <c r="X43" s="4" t="str">
        <f>IF(A43&lt;('2. Inputs and results'!$C$23+1),'2. Inputs and results'!$C$81*(W42)," ")</f>
        <v xml:space="preserve"> </v>
      </c>
      <c r="Y43" s="4">
        <f t="shared" si="2"/>
        <v>0</v>
      </c>
      <c r="Z43" s="4" t="e">
        <f>IF(A43&lt;('2. Inputs and results'!$C$23+1),Z42+((C43-$V$6+Y43)/((1+$P$2)^A43)),NA())</f>
        <v>#N/A</v>
      </c>
      <c r="AA43" s="4" t="str">
        <f>IF(A43&lt;('2. Inputs and results'!$C$23+1),AA42+G43+I43+H43+T43-$V$6," ")</f>
        <v xml:space="preserve"> </v>
      </c>
      <c r="AB43" s="11" t="e">
        <f>IF(A43&lt;('2. Inputs and results'!$C$23+1),AA43/L43,NA())</f>
        <v>#N/A</v>
      </c>
      <c r="AC43" s="12" t="str">
        <f>IF(A43&lt;('2. Inputs and results'!$C$23+1),AC42+C43+Y43-$V$6," ")</f>
        <v xml:space="preserve"> </v>
      </c>
      <c r="AD43" s="11" t="e">
        <f>IF(A43&lt;('2. Inputs and results'!$C$23+1),AC43/L43,NA())</f>
        <v>#N/A</v>
      </c>
      <c r="AE43" t="str">
        <f>IF(A43&lt;('2. Inputs and results'!$C$23+1),-'2. Inputs and results'!$C$124*A43," ")</f>
        <v xml:space="preserve"> </v>
      </c>
      <c r="AF43" t="e">
        <f>IF(A43&lt;('2. Inputs and results'!$C$23+1),AE43/1000,NA())</f>
        <v>#N/A</v>
      </c>
    </row>
    <row r="44" spans="1:32">
      <c r="A44">
        <f t="shared" si="0"/>
        <v>39</v>
      </c>
      <c r="B44" t="str">
        <f>IF(A44&lt;('2. Inputs and results'!$C$23+1),A44," ")</f>
        <v xml:space="preserve"> </v>
      </c>
      <c r="C44" s="4" t="str">
        <f>IF(A44&lt;('2. Inputs and results'!$C$23+1),'2. Inputs and results'!$C$101+'2. Inputs and results'!$C$103," ")</f>
        <v xml:space="preserve"> </v>
      </c>
      <c r="D44" s="4" t="e">
        <f>IF(A44&lt;('2. Inputs and results'!$C$23+1),D43+C44,NA())</f>
        <v>#N/A</v>
      </c>
      <c r="E44" s="4" t="str">
        <f>IF(A44&lt;('2. Inputs and results'!$C$23+1),C44/((1+$P$2)^A44)," ")</f>
        <v xml:space="preserve"> </v>
      </c>
      <c r="F44" s="4" t="str">
        <f>IF(B44&lt;('2. Inputs and results'!$C$23+1),F43+E44," ")</f>
        <v xml:space="preserve"> </v>
      </c>
      <c r="G44" s="4" t="str">
        <f>IF(A44&lt;('2. Inputs and results'!$C$23+1),G43*(1+'2. Inputs and results'!$C$48)," ")</f>
        <v xml:space="preserve"> </v>
      </c>
      <c r="H44" s="4" t="str">
        <f>IF(A44&lt;('2. Inputs and results'!$C$23+1),H43*(1+'2. Inputs and results'!$C$60)," ")</f>
        <v xml:space="preserve"> </v>
      </c>
      <c r="I44" s="4" t="str">
        <f>IF(A44&lt;('2. Inputs and results'!$C$23+1),I43*(1+'2. Inputs and results'!$C$36)," ")</f>
        <v xml:space="preserve"> </v>
      </c>
      <c r="J44" s="4" t="str">
        <f>IF(A44&lt;('2. Inputs and results'!$C$23+1),J43*(1+'2. Inputs and results'!$C$70)," ")</f>
        <v xml:space="preserve"> </v>
      </c>
      <c r="K44" s="4" t="e">
        <f>IF(A44&lt;('2. Inputs and results'!$C$23+1),K43+(G44+I44+H44+J44),NA())</f>
        <v>#N/A</v>
      </c>
      <c r="L44" s="4" t="e">
        <f>IF(A44&lt;('2. Inputs and results'!$C$23+1),L43,NA())</f>
        <v>#N/A</v>
      </c>
      <c r="M44" s="4" t="str">
        <f>IF(A44&lt;('2. Inputs and results'!$C$23+1),'2. Inputs and results'!$C$77*'2. Inputs and results'!$C$75," ")</f>
        <v xml:space="preserve"> </v>
      </c>
      <c r="N44" s="4" t="str">
        <f>IF(A44&lt;('2. Inputs and results'!$C$23+1),M44/((1+$P$2)^A44)," ")</f>
        <v xml:space="preserve"> </v>
      </c>
      <c r="O44" s="4" t="str">
        <f>IF(A44&lt;('2. Inputs and results'!$C$23+1),'2. Inputs and results'!$C$75*'2. Inputs and results'!$C$77+O43," ")</f>
        <v xml:space="preserve"> </v>
      </c>
      <c r="P44" s="4" t="str">
        <f>IF(A44&lt;('2. Inputs and results'!$C$23+1),(G44+I44+H44+J44)/((1+$P$2)^A44)," ")</f>
        <v xml:space="preserve"> </v>
      </c>
      <c r="Q44" s="4" t="str">
        <f>IF(A44&lt;('2. Inputs and results'!$C$23+1),Q43+P44," ")</f>
        <v xml:space="preserve"> </v>
      </c>
      <c r="R44" s="4" t="e">
        <f>IF(A44&lt;('2. Inputs and results'!$C$23+1),R43+G44+I44+H44+J44+T44-$V$6,NA())</f>
        <v>#N/A</v>
      </c>
      <c r="S44" s="4" t="str">
        <f>IF(A44&lt;('2. Inputs and results'!$C$23+1),'2. Inputs and results'!$C$81*(R43)," ")</f>
        <v xml:space="preserve"> </v>
      </c>
      <c r="T44" s="4">
        <f t="shared" si="1"/>
        <v>0</v>
      </c>
      <c r="U44" s="4" t="e">
        <f>IF(A44&lt;('2. Inputs and results'!$C$23+1),U43+((G44+I44+H44+J44-$V$6+T44)/((1+$P$2)^A44)),NA())</f>
        <v>#N/A</v>
      </c>
      <c r="V44" s="4" t="str">
        <f>IF(A44&lt;('2. Inputs and results'!$C$23+1),V43+('2. Inputs and results'!$C$77*'2. Inputs and results'!$C$75)," ")</f>
        <v xml:space="preserve"> </v>
      </c>
      <c r="W44" s="4" t="e">
        <f>IF(A44&lt;('2. Inputs and results'!$C$23+1),W43+C44+Y44-$V$6,NA())</f>
        <v>#N/A</v>
      </c>
      <c r="X44" s="4" t="str">
        <f>IF(A44&lt;('2. Inputs and results'!$C$23+1),'2. Inputs and results'!$C$81*(W43)," ")</f>
        <v xml:space="preserve"> </v>
      </c>
      <c r="Y44" s="4">
        <f t="shared" si="2"/>
        <v>0</v>
      </c>
      <c r="Z44" s="4" t="e">
        <f>IF(A44&lt;('2. Inputs and results'!$C$23+1),Z43+((C44-$V$6+Y44)/((1+$P$2)^A44)),NA())</f>
        <v>#N/A</v>
      </c>
      <c r="AA44" s="4" t="str">
        <f>IF(A44&lt;('2. Inputs and results'!$C$23+1),AA43+G44+I44+H44+T44-$V$6," ")</f>
        <v xml:space="preserve"> </v>
      </c>
      <c r="AB44" s="11" t="e">
        <f>IF(A44&lt;('2. Inputs and results'!$C$23+1),AA44/L44,NA())</f>
        <v>#N/A</v>
      </c>
      <c r="AC44" s="12" t="str">
        <f>IF(A44&lt;('2. Inputs and results'!$C$23+1),AC43+C44+Y44-$V$6," ")</f>
        <v xml:space="preserve"> </v>
      </c>
      <c r="AD44" s="11" t="e">
        <f>IF(A44&lt;('2. Inputs and results'!$C$23+1),AC44/L44,NA())</f>
        <v>#N/A</v>
      </c>
      <c r="AE44" t="str">
        <f>IF(A44&lt;('2. Inputs and results'!$C$23+1),-'2. Inputs and results'!$C$124*A44," ")</f>
        <v xml:space="preserve"> </v>
      </c>
      <c r="AF44" t="e">
        <f>IF(A44&lt;('2. Inputs and results'!$C$23+1),AE44/1000,NA())</f>
        <v>#N/A</v>
      </c>
    </row>
    <row r="45" spans="1:32">
      <c r="A45">
        <f t="shared" si="0"/>
        <v>40</v>
      </c>
      <c r="B45" t="str">
        <f>IF(A45&lt;('2. Inputs and results'!$C$23+1),A45," ")</f>
        <v xml:space="preserve"> </v>
      </c>
      <c r="C45" s="4" t="str">
        <f>IF(A45&lt;('2. Inputs and results'!$C$23+1),'2. Inputs and results'!$C$101+'2. Inputs and results'!$C$103," ")</f>
        <v xml:space="preserve"> </v>
      </c>
      <c r="D45" s="4" t="e">
        <f>IF(A45&lt;('2. Inputs and results'!$C$23+1),D44+C45,NA())</f>
        <v>#N/A</v>
      </c>
      <c r="E45" s="4" t="str">
        <f>IF(A45&lt;('2. Inputs and results'!$C$23+1),C45/((1+$P$2)^A45)," ")</f>
        <v xml:space="preserve"> </v>
      </c>
      <c r="F45" s="4" t="str">
        <f>IF(B45&lt;('2. Inputs and results'!$C$23+1),F44+E45," ")</f>
        <v xml:space="preserve"> </v>
      </c>
      <c r="G45" s="4" t="str">
        <f>IF(A45&lt;('2. Inputs and results'!$C$23+1),G44*(1+'2. Inputs and results'!$C$48)," ")</f>
        <v xml:space="preserve"> </v>
      </c>
      <c r="H45" s="4" t="str">
        <f>IF(A45&lt;('2. Inputs and results'!$C$23+1),H44*(1+'2. Inputs and results'!$C$60)," ")</f>
        <v xml:space="preserve"> </v>
      </c>
      <c r="I45" s="4" t="str">
        <f>IF(A45&lt;('2. Inputs and results'!$C$23+1),I44*(1+'2. Inputs and results'!$C$36)," ")</f>
        <v xml:space="preserve"> </v>
      </c>
      <c r="J45" s="4" t="str">
        <f>IF(A45&lt;('2. Inputs and results'!$C$23+1),J44*(1+'2. Inputs and results'!$C$70)," ")</f>
        <v xml:space="preserve"> </v>
      </c>
      <c r="K45" s="4" t="e">
        <f>IF(A45&lt;('2. Inputs and results'!$C$23+1),K44+(G45+I45+H45+J45),NA())</f>
        <v>#N/A</v>
      </c>
      <c r="L45" s="4" t="e">
        <f>IF(A45&lt;('2. Inputs and results'!$C$23+1),L44,NA())</f>
        <v>#N/A</v>
      </c>
      <c r="M45" s="4" t="str">
        <f>IF(A45&lt;('2. Inputs and results'!$C$23+1),'2. Inputs and results'!$C$77*'2. Inputs and results'!$C$75," ")</f>
        <v xml:space="preserve"> </v>
      </c>
      <c r="N45" s="4" t="str">
        <f>IF(A45&lt;('2. Inputs and results'!$C$23+1),M45/((1+$P$2)^A45)," ")</f>
        <v xml:space="preserve"> </v>
      </c>
      <c r="O45" s="4" t="str">
        <f>IF(A45&lt;('2. Inputs and results'!$C$23+1),'2. Inputs and results'!$C$75*'2. Inputs and results'!$C$77+O44," ")</f>
        <v xml:space="preserve"> </v>
      </c>
      <c r="P45" s="4" t="str">
        <f>IF(A45&lt;('2. Inputs and results'!$C$23+1),(G45+I45+H45+J45)/((1+$P$2)^A45)," ")</f>
        <v xml:space="preserve"> </v>
      </c>
      <c r="Q45" s="4" t="str">
        <f>IF(A45&lt;('2. Inputs and results'!$C$23+1),Q44+P45," ")</f>
        <v xml:space="preserve"> </v>
      </c>
      <c r="R45" s="4" t="e">
        <f>IF(A45&lt;('2. Inputs and results'!$C$23+1),R44+G45+I45+H45+J45+T45-$V$6,NA())</f>
        <v>#N/A</v>
      </c>
      <c r="S45" s="4" t="str">
        <f>IF(A45&lt;('2. Inputs and results'!$C$23+1),'2. Inputs and results'!$C$81*(R44)," ")</f>
        <v xml:space="preserve"> </v>
      </c>
      <c r="T45" s="4">
        <f t="shared" si="1"/>
        <v>0</v>
      </c>
      <c r="U45" s="4" t="e">
        <f>IF(A45&lt;('2. Inputs and results'!$C$23+1),U44+((G45+I45+H45+J45-$V$6+T45)/((1+$P$2)^A45)),NA())</f>
        <v>#N/A</v>
      </c>
      <c r="V45" s="4" t="str">
        <f>IF(A45&lt;('2. Inputs and results'!$C$23+1),V44+('2. Inputs and results'!$C$77*'2. Inputs and results'!$C$75)," ")</f>
        <v xml:space="preserve"> </v>
      </c>
      <c r="W45" s="4" t="e">
        <f>IF(A45&lt;('2. Inputs and results'!$C$23+1),W44+C45+Y45-$V$6,NA())</f>
        <v>#N/A</v>
      </c>
      <c r="X45" s="4" t="str">
        <f>IF(A45&lt;('2. Inputs and results'!$C$23+1),'2. Inputs and results'!$C$81*(W44)," ")</f>
        <v xml:space="preserve"> </v>
      </c>
      <c r="Y45" s="4">
        <f t="shared" si="2"/>
        <v>0</v>
      </c>
      <c r="Z45" s="4" t="e">
        <f>IF(A45&lt;('2. Inputs and results'!$C$23+1),Z44+((C45-$V$6+Y45)/((1+$P$2)^A45)),NA())</f>
        <v>#N/A</v>
      </c>
      <c r="AA45" s="4" t="str">
        <f>IF(A45&lt;('2. Inputs and results'!$C$23+1),AA44+G45+I45+H45+T45-$V$6," ")</f>
        <v xml:space="preserve"> </v>
      </c>
      <c r="AB45" s="11" t="e">
        <f>IF(A45&lt;('2. Inputs and results'!$C$23+1),AA45/L45,NA())</f>
        <v>#N/A</v>
      </c>
      <c r="AC45" s="12" t="str">
        <f>IF(A45&lt;('2. Inputs and results'!$C$23+1),AC44+C45+Y45-$V$6," ")</f>
        <v xml:space="preserve"> </v>
      </c>
      <c r="AD45" s="11" t="e">
        <f>IF(A45&lt;('2. Inputs and results'!$C$23+1),AC45/L45,NA())</f>
        <v>#N/A</v>
      </c>
      <c r="AE45" t="str">
        <f>IF(A45&lt;('2. Inputs and results'!$C$23+1),-'2. Inputs and results'!$C$124*A45," ")</f>
        <v xml:space="preserve"> </v>
      </c>
      <c r="AF45" t="e">
        <f>IF(A45&lt;('2. Inputs and results'!$C$23+1),AE45/1000,NA())</f>
        <v>#N/A</v>
      </c>
    </row>
    <row r="46" spans="1:32">
      <c r="A46">
        <f t="shared" si="0"/>
        <v>41</v>
      </c>
      <c r="B46" t="str">
        <f>IF(A46&lt;('2. Inputs and results'!$C$23+1),A46," ")</f>
        <v xml:space="preserve"> </v>
      </c>
      <c r="C46" s="4" t="str">
        <f>IF(A46&lt;('2. Inputs and results'!$C$23+1),'2. Inputs and results'!$C$101+'2. Inputs and results'!$C$103," ")</f>
        <v xml:space="preserve"> </v>
      </c>
      <c r="D46" s="4" t="e">
        <f>IF(A46&lt;('2. Inputs and results'!$C$23+1),D45+C46,NA())</f>
        <v>#N/A</v>
      </c>
      <c r="E46" s="4" t="str">
        <f>IF(A46&lt;('2. Inputs and results'!$C$23+1),C46/((1+$P$2)^A46)," ")</f>
        <v xml:space="preserve"> </v>
      </c>
      <c r="F46" s="4" t="str">
        <f>IF(B46&lt;('2. Inputs and results'!$C$23+1),F45+E46," ")</f>
        <v xml:space="preserve"> </v>
      </c>
      <c r="G46" s="4" t="str">
        <f>IF(A46&lt;('2. Inputs and results'!$C$23+1),G45*(1+'2. Inputs and results'!$C$48)," ")</f>
        <v xml:space="preserve"> </v>
      </c>
      <c r="H46" s="4" t="str">
        <f>IF(A46&lt;('2. Inputs and results'!$C$23+1),H45*(1+'2. Inputs and results'!$C$60)," ")</f>
        <v xml:space="preserve"> </v>
      </c>
      <c r="I46" s="4" t="str">
        <f>IF(A46&lt;('2. Inputs and results'!$C$23+1),I45*(1+'2. Inputs and results'!$C$36)," ")</f>
        <v xml:space="preserve"> </v>
      </c>
      <c r="J46" s="4" t="str">
        <f>IF(A46&lt;('2. Inputs and results'!$C$23+1),J45*(1+'2. Inputs and results'!$C$70)," ")</f>
        <v xml:space="preserve"> </v>
      </c>
      <c r="K46" s="4" t="e">
        <f>IF(A46&lt;('2. Inputs and results'!$C$23+1),K45+(G46+I46+H46+J46),NA())</f>
        <v>#N/A</v>
      </c>
      <c r="L46" s="4" t="e">
        <f>IF(A46&lt;('2. Inputs and results'!$C$23+1),L45,NA())</f>
        <v>#N/A</v>
      </c>
      <c r="M46" s="4" t="str">
        <f>IF(A46&lt;('2. Inputs and results'!$C$23+1),'2. Inputs and results'!$C$77*'2. Inputs and results'!$C$75," ")</f>
        <v xml:space="preserve"> </v>
      </c>
      <c r="N46" s="4" t="str">
        <f>IF(A46&lt;('2. Inputs and results'!$C$23+1),M46/((1+$P$2)^A46)," ")</f>
        <v xml:space="preserve"> </v>
      </c>
      <c r="O46" s="4" t="str">
        <f>IF(A46&lt;('2. Inputs and results'!$C$23+1),'2. Inputs and results'!$C$75*'2. Inputs and results'!$C$77+O45," ")</f>
        <v xml:space="preserve"> </v>
      </c>
      <c r="P46" s="4" t="str">
        <f>IF(A46&lt;('2. Inputs and results'!$C$23+1),(G46+I46+H46+J46)/((1+$P$2)^A46)," ")</f>
        <v xml:space="preserve"> </v>
      </c>
      <c r="Q46" s="4" t="str">
        <f>IF(A46&lt;('2. Inputs and results'!$C$23+1),Q45+P46," ")</f>
        <v xml:space="preserve"> </v>
      </c>
      <c r="R46" s="4" t="e">
        <f>IF(A46&lt;('2. Inputs and results'!$C$23+1),R45+G46+I46+H46+J46+T46-$V$6,NA())</f>
        <v>#N/A</v>
      </c>
      <c r="S46" s="4" t="str">
        <f>IF(A46&lt;('2. Inputs and results'!$C$23+1),'2. Inputs and results'!$C$81*(R45)," ")</f>
        <v xml:space="preserve"> </v>
      </c>
      <c r="T46" s="4">
        <f t="shared" si="1"/>
        <v>0</v>
      </c>
      <c r="U46" s="4" t="e">
        <f>IF(A46&lt;('2. Inputs and results'!$C$23+1),U45+((G46+I46+H46+J46-$V$6+T46)/((1+$P$2)^A46)),NA())</f>
        <v>#N/A</v>
      </c>
      <c r="V46" s="4" t="str">
        <f>IF(A46&lt;('2. Inputs and results'!$C$23+1),V45+('2. Inputs and results'!$C$77*'2. Inputs and results'!$C$75)," ")</f>
        <v xml:space="preserve"> </v>
      </c>
      <c r="W46" s="4" t="e">
        <f>IF(A46&lt;('2. Inputs and results'!$C$23+1),W45+C46+Y46-$V$6,NA())</f>
        <v>#N/A</v>
      </c>
      <c r="X46" s="4" t="str">
        <f>IF(A46&lt;('2. Inputs and results'!$C$23+1),'2. Inputs and results'!$C$81*(W45)," ")</f>
        <v xml:space="preserve"> </v>
      </c>
      <c r="Y46" s="4">
        <f t="shared" si="2"/>
        <v>0</v>
      </c>
      <c r="Z46" s="4" t="e">
        <f>IF(A46&lt;('2. Inputs and results'!$C$23+1),Z45+((C46-$V$6+Y46)/((1+$P$2)^A46)),NA())</f>
        <v>#N/A</v>
      </c>
      <c r="AA46" s="4" t="str">
        <f>IF(A46&lt;('2. Inputs and results'!$C$23+1),AA45+G46+I46+H46+T46-$V$6," ")</f>
        <v xml:space="preserve"> </v>
      </c>
      <c r="AB46" s="11" t="e">
        <f>IF(A46&lt;('2. Inputs and results'!$C$23+1),AA46/L46,NA())</f>
        <v>#N/A</v>
      </c>
      <c r="AC46" s="12" t="str">
        <f>IF(A46&lt;('2. Inputs and results'!$C$23+1),AC45+C46+Y46-$V$6," ")</f>
        <v xml:space="preserve"> </v>
      </c>
      <c r="AD46" s="11" t="e">
        <f>IF(A46&lt;('2. Inputs and results'!$C$23+1),AC46/L46,NA())</f>
        <v>#N/A</v>
      </c>
      <c r="AE46" t="str">
        <f>IF(A46&lt;('2. Inputs and results'!$C$23+1),-'2. Inputs and results'!$C$124*A46," ")</f>
        <v xml:space="preserve"> </v>
      </c>
      <c r="AF46" t="e">
        <f>IF(A46&lt;('2. Inputs and results'!$C$23+1),AE46/1000,NA())</f>
        <v>#N/A</v>
      </c>
    </row>
    <row r="47" spans="1:32">
      <c r="A47">
        <f t="shared" si="0"/>
        <v>42</v>
      </c>
      <c r="B47" t="str">
        <f>IF(A47&lt;('2. Inputs and results'!$C$23+1),A47," ")</f>
        <v xml:space="preserve"> </v>
      </c>
      <c r="C47" s="4" t="str">
        <f>IF(A47&lt;('2. Inputs and results'!$C$23+1),'2. Inputs and results'!$C$101+'2. Inputs and results'!$C$103," ")</f>
        <v xml:space="preserve"> </v>
      </c>
      <c r="D47" s="4" t="e">
        <f>IF(A47&lt;('2. Inputs and results'!$C$23+1),D46+C47,NA())</f>
        <v>#N/A</v>
      </c>
      <c r="E47" s="4" t="str">
        <f>IF(A47&lt;('2. Inputs and results'!$C$23+1),C47/((1+$P$2)^A47)," ")</f>
        <v xml:space="preserve"> </v>
      </c>
      <c r="F47" s="4" t="str">
        <f>IF(B47&lt;('2. Inputs and results'!$C$23+1),F46+E47," ")</f>
        <v xml:space="preserve"> </v>
      </c>
      <c r="G47" s="4" t="str">
        <f>IF(A47&lt;('2. Inputs and results'!$C$23+1),G46*(1+'2. Inputs and results'!$C$48)," ")</f>
        <v xml:space="preserve"> </v>
      </c>
      <c r="H47" s="4" t="str">
        <f>IF(A47&lt;('2. Inputs and results'!$C$23+1),H46*(1+'2. Inputs and results'!$C$60)," ")</f>
        <v xml:space="preserve"> </v>
      </c>
      <c r="I47" s="4" t="str">
        <f>IF(A47&lt;('2. Inputs and results'!$C$23+1),I46*(1+'2. Inputs and results'!$C$36)," ")</f>
        <v xml:space="preserve"> </v>
      </c>
      <c r="J47" s="4" t="str">
        <f>IF(A47&lt;('2. Inputs and results'!$C$23+1),J46*(1+'2. Inputs and results'!$C$70)," ")</f>
        <v xml:space="preserve"> </v>
      </c>
      <c r="K47" s="4" t="e">
        <f>IF(A47&lt;('2. Inputs and results'!$C$23+1),K46+(G47+I47+H47+J47),NA())</f>
        <v>#N/A</v>
      </c>
      <c r="L47" s="4" t="e">
        <f>IF(A47&lt;('2. Inputs and results'!$C$23+1),L46,NA())</f>
        <v>#N/A</v>
      </c>
      <c r="M47" s="4" t="str">
        <f>IF(A47&lt;('2. Inputs and results'!$C$23+1),'2. Inputs and results'!$C$77*'2. Inputs and results'!$C$75," ")</f>
        <v xml:space="preserve"> </v>
      </c>
      <c r="N47" s="4" t="str">
        <f>IF(A47&lt;('2. Inputs and results'!$C$23+1),M47/((1+$P$2)^A47)," ")</f>
        <v xml:space="preserve"> </v>
      </c>
      <c r="O47" s="4" t="str">
        <f>IF(A47&lt;('2. Inputs and results'!$C$23+1),'2. Inputs and results'!$C$75*'2. Inputs and results'!$C$77+O46," ")</f>
        <v xml:space="preserve"> </v>
      </c>
      <c r="P47" s="4" t="str">
        <f>IF(A47&lt;('2. Inputs and results'!$C$23+1),(G47+I47+H47+J47)/((1+$P$2)^A47)," ")</f>
        <v xml:space="preserve"> </v>
      </c>
      <c r="Q47" s="4" t="str">
        <f>IF(A47&lt;('2. Inputs and results'!$C$23+1),Q46+P47," ")</f>
        <v xml:space="preserve"> </v>
      </c>
      <c r="R47" s="4" t="e">
        <f>IF(A47&lt;('2. Inputs and results'!$C$23+1),R46+G47+I47+H47+J47+T47-$V$6,NA())</f>
        <v>#N/A</v>
      </c>
      <c r="S47" s="4" t="str">
        <f>IF(A47&lt;('2. Inputs and results'!$C$23+1),'2. Inputs and results'!$C$81*(R46)," ")</f>
        <v xml:space="preserve"> </v>
      </c>
      <c r="T47" s="4">
        <f t="shared" si="1"/>
        <v>0</v>
      </c>
      <c r="U47" s="4" t="e">
        <f>IF(A47&lt;('2. Inputs and results'!$C$23+1),U46+((G47+I47+H47+J47-$V$6+T47)/((1+$P$2)^A47)),NA())</f>
        <v>#N/A</v>
      </c>
      <c r="V47" s="4" t="str">
        <f>IF(A47&lt;('2. Inputs and results'!$C$23+1),V46+('2. Inputs and results'!$C$77*'2. Inputs and results'!$C$75)," ")</f>
        <v xml:space="preserve"> </v>
      </c>
      <c r="W47" s="4" t="e">
        <f>IF(A47&lt;('2. Inputs and results'!$C$23+1),W46+C47+Y47-$V$6,NA())</f>
        <v>#N/A</v>
      </c>
      <c r="X47" s="4" t="str">
        <f>IF(A47&lt;('2. Inputs and results'!$C$23+1),'2. Inputs and results'!$C$81*(W46)," ")</f>
        <v xml:space="preserve"> </v>
      </c>
      <c r="Y47" s="4">
        <f t="shared" si="2"/>
        <v>0</v>
      </c>
      <c r="Z47" s="4" t="e">
        <f>IF(A47&lt;('2. Inputs and results'!$C$23+1),Z46+((C47-$V$6+Y47)/((1+$P$2)^A47)),NA())</f>
        <v>#N/A</v>
      </c>
      <c r="AA47" s="4" t="str">
        <f>IF(A47&lt;('2. Inputs and results'!$C$23+1),AA46+G47+I47+H47+T47-$V$6," ")</f>
        <v xml:space="preserve"> </v>
      </c>
      <c r="AB47" s="11" t="e">
        <f>IF(A47&lt;('2. Inputs and results'!$C$23+1),AA47/L47,NA())</f>
        <v>#N/A</v>
      </c>
      <c r="AC47" s="12" t="str">
        <f>IF(A47&lt;('2. Inputs and results'!$C$23+1),AC46+C47+Y47-$V$6," ")</f>
        <v xml:space="preserve"> </v>
      </c>
      <c r="AD47" s="11" t="e">
        <f>IF(A47&lt;('2. Inputs and results'!$C$23+1),AC47/L47,NA())</f>
        <v>#N/A</v>
      </c>
      <c r="AE47" t="str">
        <f>IF(A47&lt;('2. Inputs and results'!$C$23+1),-'2. Inputs and results'!$C$124*A47," ")</f>
        <v xml:space="preserve"> </v>
      </c>
      <c r="AF47" t="e">
        <f>IF(A47&lt;('2. Inputs and results'!$C$23+1),AE47/1000,NA())</f>
        <v>#N/A</v>
      </c>
    </row>
    <row r="48" spans="1:32">
      <c r="A48">
        <f t="shared" si="0"/>
        <v>43</v>
      </c>
      <c r="B48" t="str">
        <f>IF(A48&lt;('2. Inputs and results'!$C$23+1),A48," ")</f>
        <v xml:space="preserve"> </v>
      </c>
      <c r="C48" s="4" t="str">
        <f>IF(A48&lt;('2. Inputs and results'!$C$23+1),'2. Inputs and results'!$C$101+'2. Inputs and results'!$C$103," ")</f>
        <v xml:space="preserve"> </v>
      </c>
      <c r="D48" s="4" t="e">
        <f>IF(A48&lt;('2. Inputs and results'!$C$23+1),D47+C48,NA())</f>
        <v>#N/A</v>
      </c>
      <c r="E48" s="4" t="str">
        <f>IF(A48&lt;('2. Inputs and results'!$C$23+1),C48/((1+$P$2)^A48)," ")</f>
        <v xml:space="preserve"> </v>
      </c>
      <c r="F48" s="4" t="str">
        <f>IF(B48&lt;('2. Inputs and results'!$C$23+1),F47+E48," ")</f>
        <v xml:space="preserve"> </v>
      </c>
      <c r="G48" s="4" t="str">
        <f>IF(A48&lt;('2. Inputs and results'!$C$23+1),G47*(1+'2. Inputs and results'!$C$48)," ")</f>
        <v xml:space="preserve"> </v>
      </c>
      <c r="H48" s="4" t="str">
        <f>IF(A48&lt;('2. Inputs and results'!$C$23+1),H47*(1+'2. Inputs and results'!$C$60)," ")</f>
        <v xml:space="preserve"> </v>
      </c>
      <c r="I48" s="4" t="str">
        <f>IF(A48&lt;('2. Inputs and results'!$C$23+1),I47*(1+'2. Inputs and results'!$C$36)," ")</f>
        <v xml:space="preserve"> </v>
      </c>
      <c r="J48" s="4" t="str">
        <f>IF(A48&lt;('2. Inputs and results'!$C$23+1),J47*(1+'2. Inputs and results'!$C$70)," ")</f>
        <v xml:space="preserve"> </v>
      </c>
      <c r="K48" s="4" t="e">
        <f>IF(A48&lt;('2. Inputs and results'!$C$23+1),K47+(G48+I48+H48+J48),NA())</f>
        <v>#N/A</v>
      </c>
      <c r="L48" s="4" t="e">
        <f>IF(A48&lt;('2. Inputs and results'!$C$23+1),L47,NA())</f>
        <v>#N/A</v>
      </c>
      <c r="M48" s="4" t="str">
        <f>IF(A48&lt;('2. Inputs and results'!$C$23+1),'2. Inputs and results'!$C$77*'2. Inputs and results'!$C$75," ")</f>
        <v xml:space="preserve"> </v>
      </c>
      <c r="N48" s="4" t="str">
        <f>IF(A48&lt;('2. Inputs and results'!$C$23+1),M48/((1+$P$2)^A48)," ")</f>
        <v xml:space="preserve"> </v>
      </c>
      <c r="O48" s="4" t="str">
        <f>IF(A48&lt;('2. Inputs and results'!$C$23+1),'2. Inputs and results'!$C$75*'2. Inputs and results'!$C$77+O47," ")</f>
        <v xml:space="preserve"> </v>
      </c>
      <c r="P48" s="4" t="str">
        <f>IF(A48&lt;('2. Inputs and results'!$C$23+1),(G48+I48+H48+J48)/((1+$P$2)^A48)," ")</f>
        <v xml:space="preserve"> </v>
      </c>
      <c r="Q48" s="4" t="str">
        <f>IF(A48&lt;('2. Inputs and results'!$C$23+1),Q47+P48," ")</f>
        <v xml:space="preserve"> </v>
      </c>
      <c r="R48" s="4" t="e">
        <f>IF(A48&lt;('2. Inputs and results'!$C$23+1),R47+G48+I48+H48+J48+T48-$V$6,NA())</f>
        <v>#N/A</v>
      </c>
      <c r="S48" s="4" t="str">
        <f>IF(A48&lt;('2. Inputs and results'!$C$23+1),'2. Inputs and results'!$C$81*(R47)," ")</f>
        <v xml:space="preserve"> </v>
      </c>
      <c r="T48" s="4">
        <f t="shared" si="1"/>
        <v>0</v>
      </c>
      <c r="U48" s="4" t="e">
        <f>IF(A48&lt;('2. Inputs and results'!$C$23+1),U47+((G48+I48+H48+J48-$V$6+T48)/((1+$P$2)^A48)),NA())</f>
        <v>#N/A</v>
      </c>
      <c r="V48" s="4" t="str">
        <f>IF(A48&lt;('2. Inputs and results'!$C$23+1),V47+('2. Inputs and results'!$C$77*'2. Inputs and results'!$C$75)," ")</f>
        <v xml:space="preserve"> </v>
      </c>
      <c r="W48" s="4" t="e">
        <f>IF(A48&lt;('2. Inputs and results'!$C$23+1),W47+C48+Y48-$V$6,NA())</f>
        <v>#N/A</v>
      </c>
      <c r="X48" s="4" t="str">
        <f>IF(A48&lt;('2. Inputs and results'!$C$23+1),'2. Inputs and results'!$C$81*(W47)," ")</f>
        <v xml:space="preserve"> </v>
      </c>
      <c r="Y48" s="4">
        <f t="shared" si="2"/>
        <v>0</v>
      </c>
      <c r="Z48" s="4" t="e">
        <f>IF(A48&lt;('2. Inputs and results'!$C$23+1),Z47+((C48-$V$6+Y48)/((1+$P$2)^A48)),NA())</f>
        <v>#N/A</v>
      </c>
      <c r="AA48" s="4" t="str">
        <f>IF(A48&lt;('2. Inputs and results'!$C$23+1),AA47+G48+I48+H48+T48-$V$6," ")</f>
        <v xml:space="preserve"> </v>
      </c>
      <c r="AB48" s="11" t="e">
        <f>IF(A48&lt;('2. Inputs and results'!$C$23+1),AA48/L48,NA())</f>
        <v>#N/A</v>
      </c>
      <c r="AC48" s="12" t="str">
        <f>IF(A48&lt;('2. Inputs and results'!$C$23+1),AC47+C48+Y48-$V$6," ")</f>
        <v xml:space="preserve"> </v>
      </c>
      <c r="AD48" s="11" t="e">
        <f>IF(A48&lt;('2. Inputs and results'!$C$23+1),AC48/L48,NA())</f>
        <v>#N/A</v>
      </c>
      <c r="AE48" t="str">
        <f>IF(A48&lt;('2. Inputs and results'!$C$23+1),-'2. Inputs and results'!$C$124*A48," ")</f>
        <v xml:space="preserve"> </v>
      </c>
      <c r="AF48" t="e">
        <f>IF(A48&lt;('2. Inputs and results'!$C$23+1),AE48/1000,NA())</f>
        <v>#N/A</v>
      </c>
    </row>
    <row r="49" spans="1:32">
      <c r="A49">
        <f t="shared" si="0"/>
        <v>44</v>
      </c>
      <c r="B49" t="str">
        <f>IF(A49&lt;('2. Inputs and results'!$C$23+1),A49," ")</f>
        <v xml:space="preserve"> </v>
      </c>
      <c r="C49" s="4" t="str">
        <f>IF(A49&lt;('2. Inputs and results'!$C$23+1),'2. Inputs and results'!$C$101+'2. Inputs and results'!$C$103," ")</f>
        <v xml:space="preserve"> </v>
      </c>
      <c r="D49" s="4" t="e">
        <f>IF(A49&lt;('2. Inputs and results'!$C$23+1),D48+C49,NA())</f>
        <v>#N/A</v>
      </c>
      <c r="E49" s="4" t="str">
        <f>IF(A49&lt;('2. Inputs and results'!$C$23+1),C49/((1+$P$2)^A49)," ")</f>
        <v xml:space="preserve"> </v>
      </c>
      <c r="F49" s="4" t="str">
        <f>IF(B49&lt;('2. Inputs and results'!$C$23+1),F48+E49," ")</f>
        <v xml:space="preserve"> </v>
      </c>
      <c r="G49" s="4" t="str">
        <f>IF(A49&lt;('2. Inputs and results'!$C$23+1),G48*(1+'2. Inputs and results'!$C$48)," ")</f>
        <v xml:space="preserve"> </v>
      </c>
      <c r="H49" s="4" t="str">
        <f>IF(A49&lt;('2. Inputs and results'!$C$23+1),H48*(1+'2. Inputs and results'!$C$60)," ")</f>
        <v xml:space="preserve"> </v>
      </c>
      <c r="I49" s="4" t="str">
        <f>IF(A49&lt;('2. Inputs and results'!$C$23+1),I48*(1+'2. Inputs and results'!$C$36)," ")</f>
        <v xml:space="preserve"> </v>
      </c>
      <c r="J49" s="4" t="str">
        <f>IF(A49&lt;('2. Inputs and results'!$C$23+1),J48*(1+'2. Inputs and results'!$C$70)," ")</f>
        <v xml:space="preserve"> </v>
      </c>
      <c r="K49" s="4" t="e">
        <f>IF(A49&lt;('2. Inputs and results'!$C$23+1),K48+(G49+I49+H49+J49),NA())</f>
        <v>#N/A</v>
      </c>
      <c r="L49" s="4" t="e">
        <f>IF(A49&lt;('2. Inputs and results'!$C$23+1),L48,NA())</f>
        <v>#N/A</v>
      </c>
      <c r="M49" s="4" t="str">
        <f>IF(A49&lt;('2. Inputs and results'!$C$23+1),'2. Inputs and results'!$C$77*'2. Inputs and results'!$C$75," ")</f>
        <v xml:space="preserve"> </v>
      </c>
      <c r="N49" s="4" t="str">
        <f>IF(A49&lt;('2. Inputs and results'!$C$23+1),M49/((1+$P$2)^A49)," ")</f>
        <v xml:space="preserve"> </v>
      </c>
      <c r="O49" s="4" t="str">
        <f>IF(A49&lt;('2. Inputs and results'!$C$23+1),'2. Inputs and results'!$C$75*'2. Inputs and results'!$C$77+O48," ")</f>
        <v xml:space="preserve"> </v>
      </c>
      <c r="P49" s="4" t="str">
        <f>IF(A49&lt;('2. Inputs and results'!$C$23+1),(G49+I49+H49+J49)/((1+$P$2)^A49)," ")</f>
        <v xml:space="preserve"> </v>
      </c>
      <c r="Q49" s="4" t="str">
        <f>IF(A49&lt;('2. Inputs and results'!$C$23+1),Q48+P49," ")</f>
        <v xml:space="preserve"> </v>
      </c>
      <c r="R49" s="4" t="e">
        <f>IF(A49&lt;('2. Inputs and results'!$C$23+1),R48+G49+I49+H49+J49+T49-$V$6,NA())</f>
        <v>#N/A</v>
      </c>
      <c r="S49" s="4" t="str">
        <f>IF(A49&lt;('2. Inputs and results'!$C$23+1),'2. Inputs and results'!$C$81*(R48)," ")</f>
        <v xml:space="preserve"> </v>
      </c>
      <c r="T49" s="4">
        <f t="shared" si="1"/>
        <v>0</v>
      </c>
      <c r="U49" s="4" t="e">
        <f>IF(A49&lt;('2. Inputs and results'!$C$23+1),U48+((G49+I49+H49+J49-$V$6+T49)/((1+$P$2)^A49)),NA())</f>
        <v>#N/A</v>
      </c>
      <c r="V49" s="4" t="str">
        <f>IF(A49&lt;('2. Inputs and results'!$C$23+1),V48+('2. Inputs and results'!$C$77*'2. Inputs and results'!$C$75)," ")</f>
        <v xml:space="preserve"> </v>
      </c>
      <c r="W49" s="4" t="e">
        <f>IF(A49&lt;('2. Inputs and results'!$C$23+1),W48+C49+Y49-$V$6,NA())</f>
        <v>#N/A</v>
      </c>
      <c r="X49" s="4" t="str">
        <f>IF(A49&lt;('2. Inputs and results'!$C$23+1),'2. Inputs and results'!$C$81*(W48)," ")</f>
        <v xml:space="preserve"> </v>
      </c>
      <c r="Y49" s="4">
        <f t="shared" si="2"/>
        <v>0</v>
      </c>
      <c r="Z49" s="4" t="e">
        <f>IF(A49&lt;('2. Inputs and results'!$C$23+1),Z48+((C49-$V$6+Y49)/((1+$P$2)^A49)),NA())</f>
        <v>#N/A</v>
      </c>
      <c r="AA49" s="4" t="str">
        <f>IF(A49&lt;('2. Inputs and results'!$C$23+1),AA48+G49+I49+H49+T49-$V$6," ")</f>
        <v xml:space="preserve"> </v>
      </c>
      <c r="AB49" s="11" t="e">
        <f>IF(A49&lt;('2. Inputs and results'!$C$23+1),AA49/L49,NA())</f>
        <v>#N/A</v>
      </c>
      <c r="AC49" s="12" t="str">
        <f>IF(A49&lt;('2. Inputs and results'!$C$23+1),AC48+C49+Y49-$V$6," ")</f>
        <v xml:space="preserve"> </v>
      </c>
      <c r="AD49" s="11" t="e">
        <f>IF(A49&lt;('2. Inputs and results'!$C$23+1),AC49/L49,NA())</f>
        <v>#N/A</v>
      </c>
      <c r="AE49" t="str">
        <f>IF(A49&lt;('2. Inputs and results'!$C$23+1),-'2. Inputs and results'!$C$124*A49," ")</f>
        <v xml:space="preserve"> </v>
      </c>
      <c r="AF49" t="e">
        <f>IF(A49&lt;('2. Inputs and results'!$C$23+1),AE49/1000,NA())</f>
        <v>#N/A</v>
      </c>
    </row>
    <row r="50" spans="1:32">
      <c r="A50">
        <f t="shared" si="0"/>
        <v>45</v>
      </c>
      <c r="B50" t="str">
        <f>IF(A50&lt;('2. Inputs and results'!$C$23+1),A50," ")</f>
        <v xml:space="preserve"> </v>
      </c>
      <c r="C50" s="4" t="str">
        <f>IF(A50&lt;('2. Inputs and results'!$C$23+1),'2. Inputs and results'!$C$101+'2. Inputs and results'!$C$103," ")</f>
        <v xml:space="preserve"> </v>
      </c>
      <c r="D50" s="4" t="e">
        <f>IF(A50&lt;('2. Inputs and results'!$C$23+1),D49+C50,NA())</f>
        <v>#N/A</v>
      </c>
      <c r="E50" s="4" t="str">
        <f>IF(A50&lt;('2. Inputs and results'!$C$23+1),C50/((1+$P$2)^A50)," ")</f>
        <v xml:space="preserve"> </v>
      </c>
      <c r="F50" s="4" t="str">
        <f>IF(B50&lt;('2. Inputs and results'!$C$23+1),F49+E50," ")</f>
        <v xml:space="preserve"> </v>
      </c>
      <c r="G50" s="4" t="str">
        <f>IF(A50&lt;('2. Inputs and results'!$C$23+1),G49*(1+'2. Inputs and results'!$C$48)," ")</f>
        <v xml:space="preserve"> </v>
      </c>
      <c r="H50" s="4" t="str">
        <f>IF(A50&lt;('2. Inputs and results'!$C$23+1),H49*(1+'2. Inputs and results'!$C$60)," ")</f>
        <v xml:space="preserve"> </v>
      </c>
      <c r="I50" s="4" t="str">
        <f>IF(A50&lt;('2. Inputs and results'!$C$23+1),I49*(1+'2. Inputs and results'!$C$36)," ")</f>
        <v xml:space="preserve"> </v>
      </c>
      <c r="J50" s="4" t="str">
        <f>IF(A50&lt;('2. Inputs and results'!$C$23+1),J49*(1+'2. Inputs and results'!$C$70)," ")</f>
        <v xml:space="preserve"> </v>
      </c>
      <c r="K50" s="4" t="e">
        <f>IF(A50&lt;('2. Inputs and results'!$C$23+1),K49+(G50+I50+H50+J50),NA())</f>
        <v>#N/A</v>
      </c>
      <c r="L50" s="4" t="e">
        <f>IF(A50&lt;('2. Inputs and results'!$C$23+1),L49,NA())</f>
        <v>#N/A</v>
      </c>
      <c r="M50" s="4" t="str">
        <f>IF(A50&lt;('2. Inputs and results'!$C$23+1),'2. Inputs and results'!$C$77*'2. Inputs and results'!$C$75," ")</f>
        <v xml:space="preserve"> </v>
      </c>
      <c r="N50" s="4" t="str">
        <f>IF(A50&lt;('2. Inputs and results'!$C$23+1),M50/((1+$P$2)^A50)," ")</f>
        <v xml:space="preserve"> </v>
      </c>
      <c r="O50" s="4" t="str">
        <f>IF(A50&lt;('2. Inputs and results'!$C$23+1),'2. Inputs and results'!$C$75*'2. Inputs and results'!$C$77+O49," ")</f>
        <v xml:space="preserve"> </v>
      </c>
      <c r="P50" s="4" t="str">
        <f>IF(A50&lt;('2. Inputs and results'!$C$23+1),(G50+I50+H50+J50)/((1+$P$2)^A50)," ")</f>
        <v xml:space="preserve"> </v>
      </c>
      <c r="Q50" s="4" t="str">
        <f>IF(A50&lt;('2. Inputs and results'!$C$23+1),Q49+P50," ")</f>
        <v xml:space="preserve"> </v>
      </c>
      <c r="R50" s="4" t="e">
        <f>IF(A50&lt;('2. Inputs and results'!$C$23+1),R49+G50+I50+H50+J50+T50-$V$6,NA())</f>
        <v>#N/A</v>
      </c>
      <c r="S50" s="4" t="str">
        <f>IF(A50&lt;('2. Inputs and results'!$C$23+1),'2. Inputs and results'!$C$81*(R49)," ")</f>
        <v xml:space="preserve"> </v>
      </c>
      <c r="T50" s="4">
        <f t="shared" si="1"/>
        <v>0</v>
      </c>
      <c r="U50" s="4" t="e">
        <f>IF(A50&lt;('2. Inputs and results'!$C$23+1),U49+((G50+I50+H50+J50-$V$6+T50)/((1+$P$2)^A50)),NA())</f>
        <v>#N/A</v>
      </c>
      <c r="V50" s="4" t="str">
        <f>IF(A50&lt;('2. Inputs and results'!$C$23+1),V49+('2. Inputs and results'!$C$77*'2. Inputs and results'!$C$75)," ")</f>
        <v xml:space="preserve"> </v>
      </c>
      <c r="W50" s="4" t="e">
        <f>IF(A50&lt;('2. Inputs and results'!$C$23+1),W49+C50+Y50-$V$6,NA())</f>
        <v>#N/A</v>
      </c>
      <c r="X50" s="4" t="str">
        <f>IF(A50&lt;('2. Inputs and results'!$C$23+1),'2. Inputs and results'!$C$81*(W49)," ")</f>
        <v xml:space="preserve"> </v>
      </c>
      <c r="Y50" s="4">
        <f t="shared" si="2"/>
        <v>0</v>
      </c>
      <c r="Z50" s="4" t="e">
        <f>IF(A50&lt;('2. Inputs and results'!$C$23+1),Z49+((C50-$V$6+Y50)/((1+$P$2)^A50)),NA())</f>
        <v>#N/A</v>
      </c>
      <c r="AA50" s="4" t="str">
        <f>IF(A50&lt;('2. Inputs and results'!$C$23+1),AA49+G50+I50+H50+T50-$V$6," ")</f>
        <v xml:space="preserve"> </v>
      </c>
      <c r="AB50" s="11" t="e">
        <f>IF(A50&lt;('2. Inputs and results'!$C$23+1),AA50/L50,NA())</f>
        <v>#N/A</v>
      </c>
      <c r="AC50" s="12" t="str">
        <f>IF(A50&lt;('2. Inputs and results'!$C$23+1),AC49+C50+Y50-$V$6," ")</f>
        <v xml:space="preserve"> </v>
      </c>
      <c r="AD50" s="11" t="e">
        <f>IF(A50&lt;('2. Inputs and results'!$C$23+1),AC50/L50,NA())</f>
        <v>#N/A</v>
      </c>
      <c r="AE50" t="str">
        <f>IF(A50&lt;('2. Inputs and results'!$C$23+1),-'2. Inputs and results'!$C$124*A50," ")</f>
        <v xml:space="preserve"> </v>
      </c>
      <c r="AF50" t="e">
        <f>IF(A50&lt;('2. Inputs and results'!$C$23+1),AE50/1000,NA())</f>
        <v>#N/A</v>
      </c>
    </row>
    <row r="51" spans="1:32">
      <c r="A51">
        <f t="shared" si="0"/>
        <v>46</v>
      </c>
      <c r="B51" t="str">
        <f>IF(A51&lt;('2. Inputs and results'!$C$23+1),A51," ")</f>
        <v xml:space="preserve"> </v>
      </c>
      <c r="C51" s="4" t="str">
        <f>IF(A51&lt;('2. Inputs and results'!$C$23+1),'2. Inputs and results'!$C$101+'2. Inputs and results'!$C$103," ")</f>
        <v xml:space="preserve"> </v>
      </c>
      <c r="D51" s="4" t="e">
        <f>IF(A51&lt;('2. Inputs and results'!$C$23+1),D50+C51,NA())</f>
        <v>#N/A</v>
      </c>
      <c r="E51" s="4" t="str">
        <f>IF(A51&lt;('2. Inputs and results'!$C$23+1),C51/((1+$P$2)^A51)," ")</f>
        <v xml:space="preserve"> </v>
      </c>
      <c r="F51" s="4" t="str">
        <f>IF(B51&lt;('2. Inputs and results'!$C$23+1),F50+E51," ")</f>
        <v xml:space="preserve"> </v>
      </c>
      <c r="G51" s="4" t="str">
        <f>IF(A51&lt;('2. Inputs and results'!$C$23+1),G50*(1+'2. Inputs and results'!$C$48)," ")</f>
        <v xml:space="preserve"> </v>
      </c>
      <c r="H51" s="4" t="str">
        <f>IF(A51&lt;('2. Inputs and results'!$C$23+1),H50*(1+'2. Inputs and results'!$C$60)," ")</f>
        <v xml:space="preserve"> </v>
      </c>
      <c r="I51" s="4" t="str">
        <f>IF(A51&lt;('2. Inputs and results'!$C$23+1),I50*(1+'2. Inputs and results'!$C$36)," ")</f>
        <v xml:space="preserve"> </v>
      </c>
      <c r="J51" s="4" t="str">
        <f>IF(A51&lt;('2. Inputs and results'!$C$23+1),J50*(1+'2. Inputs and results'!$C$70)," ")</f>
        <v xml:space="preserve"> </v>
      </c>
      <c r="K51" s="4" t="e">
        <f>IF(A51&lt;('2. Inputs and results'!$C$23+1),K50+(G51+I51+H51+J51),NA())</f>
        <v>#N/A</v>
      </c>
      <c r="L51" s="4" t="e">
        <f>IF(A51&lt;('2. Inputs and results'!$C$23+1),L50,NA())</f>
        <v>#N/A</v>
      </c>
      <c r="M51" s="4" t="str">
        <f>IF(A51&lt;('2. Inputs and results'!$C$23+1),'2. Inputs and results'!$C$77*'2. Inputs and results'!$C$75," ")</f>
        <v xml:space="preserve"> </v>
      </c>
      <c r="N51" s="4" t="str">
        <f>IF(A51&lt;('2. Inputs and results'!$C$23+1),M51/((1+$P$2)^A51)," ")</f>
        <v xml:space="preserve"> </v>
      </c>
      <c r="O51" s="4" t="str">
        <f>IF(A51&lt;('2. Inputs and results'!$C$23+1),'2. Inputs and results'!$C$75*'2. Inputs and results'!$C$77+O50," ")</f>
        <v xml:space="preserve"> </v>
      </c>
      <c r="P51" s="4" t="str">
        <f>IF(A51&lt;('2. Inputs and results'!$C$23+1),(G51+I51+H51+J51)/((1+$P$2)^A51)," ")</f>
        <v xml:space="preserve"> </v>
      </c>
      <c r="Q51" s="4" t="str">
        <f>IF(A51&lt;('2. Inputs and results'!$C$23+1),Q50+P51," ")</f>
        <v xml:space="preserve"> </v>
      </c>
      <c r="R51" s="4" t="e">
        <f>IF(A51&lt;('2. Inputs and results'!$C$23+1),R50+G51+I51+H51+J51+T51-$V$6,NA())</f>
        <v>#N/A</v>
      </c>
      <c r="S51" s="4" t="str">
        <f>IF(A51&lt;('2. Inputs and results'!$C$23+1),'2. Inputs and results'!$C$81*(R50)," ")</f>
        <v xml:space="preserve"> </v>
      </c>
      <c r="T51" s="4">
        <f t="shared" si="1"/>
        <v>0</v>
      </c>
      <c r="U51" s="4" t="e">
        <f>IF(A51&lt;('2. Inputs and results'!$C$23+1),U50+((G51+I51+H51+J51-$V$6+T51)/((1+$P$2)^A51)),NA())</f>
        <v>#N/A</v>
      </c>
      <c r="V51" s="4" t="str">
        <f>IF(A51&lt;('2. Inputs and results'!$C$23+1),V50+('2. Inputs and results'!$C$77*'2. Inputs and results'!$C$75)," ")</f>
        <v xml:space="preserve"> </v>
      </c>
      <c r="W51" s="4" t="e">
        <f>IF(A51&lt;('2. Inputs and results'!$C$23+1),W50+C51+Y51-$V$6,NA())</f>
        <v>#N/A</v>
      </c>
      <c r="X51" s="4" t="str">
        <f>IF(A51&lt;('2. Inputs and results'!$C$23+1),'2. Inputs and results'!$C$81*(W50)," ")</f>
        <v xml:space="preserve"> </v>
      </c>
      <c r="Y51" s="4">
        <f t="shared" si="2"/>
        <v>0</v>
      </c>
      <c r="Z51" s="4" t="e">
        <f>IF(A51&lt;('2. Inputs and results'!$C$23+1),Z50+((C51-$V$6+Y51)/((1+$P$2)^A51)),NA())</f>
        <v>#N/A</v>
      </c>
      <c r="AA51" s="4" t="str">
        <f>IF(A51&lt;('2. Inputs and results'!$C$23+1),AA50+G51+I51+H51+T51-$V$6," ")</f>
        <v xml:space="preserve"> </v>
      </c>
      <c r="AB51" s="11" t="e">
        <f>IF(A51&lt;('2. Inputs and results'!$C$23+1),AA51/L51,NA())</f>
        <v>#N/A</v>
      </c>
      <c r="AC51" s="12" t="str">
        <f>IF(A51&lt;('2. Inputs and results'!$C$23+1),AC50+C51+Y51-$V$6," ")</f>
        <v xml:space="preserve"> </v>
      </c>
      <c r="AD51" s="11" t="e">
        <f>IF(A51&lt;('2. Inputs and results'!$C$23+1),AC51/L51,NA())</f>
        <v>#N/A</v>
      </c>
      <c r="AE51" t="str">
        <f>IF(A51&lt;('2. Inputs and results'!$C$23+1),-'2. Inputs and results'!$C$124*A51," ")</f>
        <v xml:space="preserve"> </v>
      </c>
      <c r="AF51" t="e">
        <f>IF(A51&lt;('2. Inputs and results'!$C$23+1),AE51/1000,NA())</f>
        <v>#N/A</v>
      </c>
    </row>
    <row r="52" spans="1:32">
      <c r="A52">
        <f t="shared" si="0"/>
        <v>47</v>
      </c>
      <c r="B52" t="str">
        <f>IF(A52&lt;('2. Inputs and results'!$C$23+1),A52," ")</f>
        <v xml:space="preserve"> </v>
      </c>
      <c r="C52" s="4" t="str">
        <f>IF(A52&lt;('2. Inputs and results'!$C$23+1),'2. Inputs and results'!$C$101+'2. Inputs and results'!$C$103," ")</f>
        <v xml:space="preserve"> </v>
      </c>
      <c r="D52" s="4" t="e">
        <f>IF(A52&lt;('2. Inputs and results'!$C$23+1),D51+C52,NA())</f>
        <v>#N/A</v>
      </c>
      <c r="E52" s="4" t="str">
        <f>IF(A52&lt;('2. Inputs and results'!$C$23+1),C52/((1+$P$2)^A52)," ")</f>
        <v xml:space="preserve"> </v>
      </c>
      <c r="F52" s="4" t="str">
        <f>IF(B52&lt;('2. Inputs and results'!$C$23+1),F51+E52," ")</f>
        <v xml:space="preserve"> </v>
      </c>
      <c r="G52" s="4" t="str">
        <f>IF(A52&lt;('2. Inputs and results'!$C$23+1),G51*(1+'2. Inputs and results'!$C$48)," ")</f>
        <v xml:space="preserve"> </v>
      </c>
      <c r="H52" s="4" t="str">
        <f>IF(A52&lt;('2. Inputs and results'!$C$23+1),H51*(1+'2. Inputs and results'!$C$60)," ")</f>
        <v xml:space="preserve"> </v>
      </c>
      <c r="I52" s="4" t="str">
        <f>IF(A52&lt;('2. Inputs and results'!$C$23+1),I51*(1+'2. Inputs and results'!$C$36)," ")</f>
        <v xml:space="preserve"> </v>
      </c>
      <c r="J52" s="4" t="str">
        <f>IF(A52&lt;('2. Inputs and results'!$C$23+1),J51*(1+'2. Inputs and results'!$C$70)," ")</f>
        <v xml:space="preserve"> </v>
      </c>
      <c r="K52" s="4" t="e">
        <f>IF(A52&lt;('2. Inputs and results'!$C$23+1),K51+(G52+I52+H52+J52),NA())</f>
        <v>#N/A</v>
      </c>
      <c r="L52" s="4" t="e">
        <f>IF(A52&lt;('2. Inputs and results'!$C$23+1),L51,NA())</f>
        <v>#N/A</v>
      </c>
      <c r="M52" s="4" t="str">
        <f>IF(A52&lt;('2. Inputs and results'!$C$23+1),'2. Inputs and results'!$C$77*'2. Inputs and results'!$C$75," ")</f>
        <v xml:space="preserve"> </v>
      </c>
      <c r="N52" s="4" t="str">
        <f>IF(A52&lt;('2. Inputs and results'!$C$23+1),M52/((1+$P$2)^A52)," ")</f>
        <v xml:space="preserve"> </v>
      </c>
      <c r="O52" s="4" t="str">
        <f>IF(A52&lt;('2. Inputs and results'!$C$23+1),'2. Inputs and results'!$C$75*'2. Inputs and results'!$C$77+O51," ")</f>
        <v xml:space="preserve"> </v>
      </c>
      <c r="P52" s="4" t="str">
        <f>IF(A52&lt;('2. Inputs and results'!$C$23+1),(G52+I52+H52+J52)/((1+$P$2)^A52)," ")</f>
        <v xml:space="preserve"> </v>
      </c>
      <c r="Q52" s="4" t="str">
        <f>IF(A52&lt;('2. Inputs and results'!$C$23+1),Q51+P52," ")</f>
        <v xml:space="preserve"> </v>
      </c>
      <c r="R52" s="4" t="e">
        <f>IF(A52&lt;('2. Inputs and results'!$C$23+1),R51+G52+I52+H52+J52+T52-$V$6,NA())</f>
        <v>#N/A</v>
      </c>
      <c r="S52" s="4" t="str">
        <f>IF(A52&lt;('2. Inputs and results'!$C$23+1),'2. Inputs and results'!$C$81*(R51)," ")</f>
        <v xml:space="preserve"> </v>
      </c>
      <c r="T52" s="4">
        <f t="shared" si="1"/>
        <v>0</v>
      </c>
      <c r="U52" s="4" t="e">
        <f>IF(A52&lt;('2. Inputs and results'!$C$23+1),U51+((G52+I52+H52+J52-$V$6+T52)/((1+$P$2)^A52)),NA())</f>
        <v>#N/A</v>
      </c>
      <c r="V52" s="4" t="str">
        <f>IF(A52&lt;('2. Inputs and results'!$C$23+1),V51+('2. Inputs and results'!$C$77*'2. Inputs and results'!$C$75)," ")</f>
        <v xml:space="preserve"> </v>
      </c>
      <c r="W52" s="4" t="e">
        <f>IF(A52&lt;('2. Inputs and results'!$C$23+1),W51+C52+Y52-$V$6,NA())</f>
        <v>#N/A</v>
      </c>
      <c r="X52" s="4" t="str">
        <f>IF(A52&lt;('2. Inputs and results'!$C$23+1),'2. Inputs and results'!$C$81*(W51)," ")</f>
        <v xml:space="preserve"> </v>
      </c>
      <c r="Y52" s="4">
        <f t="shared" si="2"/>
        <v>0</v>
      </c>
      <c r="Z52" s="4" t="e">
        <f>IF(A52&lt;('2. Inputs and results'!$C$23+1),Z51+((C52-$V$6+Y52)/((1+$P$2)^A52)),NA())</f>
        <v>#N/A</v>
      </c>
      <c r="AA52" s="4" t="str">
        <f>IF(A52&lt;('2. Inputs and results'!$C$23+1),AA51+G52+I52+H52+T52-$V$6," ")</f>
        <v xml:space="preserve"> </v>
      </c>
      <c r="AB52" s="11" t="e">
        <f>IF(A52&lt;('2. Inputs and results'!$C$23+1),AA52/L52,NA())</f>
        <v>#N/A</v>
      </c>
      <c r="AC52" s="12" t="str">
        <f>IF(A52&lt;('2. Inputs and results'!$C$23+1),AC51+C52+Y52-$V$6," ")</f>
        <v xml:space="preserve"> </v>
      </c>
      <c r="AD52" s="11" t="e">
        <f>IF(A52&lt;('2. Inputs and results'!$C$23+1),AC52/L52,NA())</f>
        <v>#N/A</v>
      </c>
      <c r="AE52" t="str">
        <f>IF(A52&lt;('2. Inputs and results'!$C$23+1),-'2. Inputs and results'!$C$124*A52," ")</f>
        <v xml:space="preserve"> </v>
      </c>
      <c r="AF52" t="e">
        <f>IF(A52&lt;('2. Inputs and results'!$C$23+1),AE52/1000,NA())</f>
        <v>#N/A</v>
      </c>
    </row>
    <row r="53" spans="1:32">
      <c r="A53">
        <f t="shared" si="0"/>
        <v>48</v>
      </c>
      <c r="B53" t="str">
        <f>IF(A53&lt;('2. Inputs and results'!$C$23+1),A53," ")</f>
        <v xml:space="preserve"> </v>
      </c>
      <c r="C53" s="4" t="str">
        <f>IF(A53&lt;('2. Inputs and results'!$C$23+1),'2. Inputs and results'!$C$101+'2. Inputs and results'!$C$103," ")</f>
        <v xml:space="preserve"> </v>
      </c>
      <c r="D53" s="4" t="e">
        <f>IF(A53&lt;('2. Inputs and results'!$C$23+1),D52+C53,NA())</f>
        <v>#N/A</v>
      </c>
      <c r="E53" s="4" t="str">
        <f>IF(A53&lt;('2. Inputs and results'!$C$23+1),C53/((1+$P$2)^A53)," ")</f>
        <v xml:space="preserve"> </v>
      </c>
      <c r="F53" s="4" t="str">
        <f>IF(B53&lt;('2. Inputs and results'!$C$23+1),F52+E53," ")</f>
        <v xml:space="preserve"> </v>
      </c>
      <c r="G53" s="4" t="str">
        <f>IF(A53&lt;('2. Inputs and results'!$C$23+1),G52*(1+'2. Inputs and results'!$C$48)," ")</f>
        <v xml:space="preserve"> </v>
      </c>
      <c r="H53" s="4" t="str">
        <f>IF(A53&lt;('2. Inputs and results'!$C$23+1),H52*(1+'2. Inputs and results'!$C$60)," ")</f>
        <v xml:space="preserve"> </v>
      </c>
      <c r="I53" s="4" t="str">
        <f>IF(A53&lt;('2. Inputs and results'!$C$23+1),I52*(1+'2. Inputs and results'!$C$36)," ")</f>
        <v xml:space="preserve"> </v>
      </c>
      <c r="J53" s="4" t="str">
        <f>IF(A53&lt;('2. Inputs and results'!$C$23+1),J52*(1+'2. Inputs and results'!$C$70)," ")</f>
        <v xml:space="preserve"> </v>
      </c>
      <c r="K53" s="4" t="e">
        <f>IF(A53&lt;('2. Inputs and results'!$C$23+1),K52+(G53+I53+H53+J53),NA())</f>
        <v>#N/A</v>
      </c>
      <c r="L53" s="4" t="e">
        <f>IF(A53&lt;('2. Inputs and results'!$C$23+1),L52,NA())</f>
        <v>#N/A</v>
      </c>
      <c r="M53" s="4" t="str">
        <f>IF(A53&lt;('2. Inputs and results'!$C$23+1),'2. Inputs and results'!$C$77*'2. Inputs and results'!$C$75," ")</f>
        <v xml:space="preserve"> </v>
      </c>
      <c r="N53" s="4" t="str">
        <f>IF(A53&lt;('2. Inputs and results'!$C$23+1),M53/((1+$P$2)^A53)," ")</f>
        <v xml:space="preserve"> </v>
      </c>
      <c r="O53" s="4" t="str">
        <f>IF(A53&lt;('2. Inputs and results'!$C$23+1),'2. Inputs and results'!$C$75*'2. Inputs and results'!$C$77+O52," ")</f>
        <v xml:space="preserve"> </v>
      </c>
      <c r="P53" s="4" t="str">
        <f>IF(A53&lt;('2. Inputs and results'!$C$23+1),(G53+I53+H53+J53)/((1+$P$2)^A53)," ")</f>
        <v xml:space="preserve"> </v>
      </c>
      <c r="Q53" s="4" t="str">
        <f>IF(A53&lt;('2. Inputs and results'!$C$23+1),Q52+P53," ")</f>
        <v xml:space="preserve"> </v>
      </c>
      <c r="R53" s="4" t="e">
        <f>IF(A53&lt;('2. Inputs and results'!$C$23+1),R52+G53+I53+H53+J53+T53-$V$6,NA())</f>
        <v>#N/A</v>
      </c>
      <c r="S53" s="4" t="str">
        <f>IF(A53&lt;('2. Inputs and results'!$C$23+1),'2. Inputs and results'!$C$81*(R52)," ")</f>
        <v xml:space="preserve"> </v>
      </c>
      <c r="T53" s="4">
        <f t="shared" si="1"/>
        <v>0</v>
      </c>
      <c r="U53" s="4" t="e">
        <f>IF(A53&lt;('2. Inputs and results'!$C$23+1),U52+((G53+I53+H53+J53-$V$6+T53)/((1+$P$2)^A53)),NA())</f>
        <v>#N/A</v>
      </c>
      <c r="V53" s="4" t="str">
        <f>IF(A53&lt;('2. Inputs and results'!$C$23+1),V52+('2. Inputs and results'!$C$77*'2. Inputs and results'!$C$75)," ")</f>
        <v xml:space="preserve"> </v>
      </c>
      <c r="W53" s="4" t="e">
        <f>IF(A53&lt;('2. Inputs and results'!$C$23+1),W52+C53+Y53-$V$6,NA())</f>
        <v>#N/A</v>
      </c>
      <c r="X53" s="4" t="str">
        <f>IF(A53&lt;('2. Inputs and results'!$C$23+1),'2. Inputs and results'!$C$81*(W52)," ")</f>
        <v xml:space="preserve"> </v>
      </c>
      <c r="Y53" s="4">
        <f t="shared" si="2"/>
        <v>0</v>
      </c>
      <c r="Z53" s="4" t="e">
        <f>IF(A53&lt;('2. Inputs and results'!$C$23+1),Z52+((C53-$V$6+Y53)/((1+$P$2)^A53)),NA())</f>
        <v>#N/A</v>
      </c>
      <c r="AA53" s="4" t="str">
        <f>IF(A53&lt;('2. Inputs and results'!$C$23+1),AA52+G53+I53+H53+T53-$V$6," ")</f>
        <v xml:space="preserve"> </v>
      </c>
      <c r="AB53" s="11" t="e">
        <f>IF(A53&lt;('2. Inputs and results'!$C$23+1),AA53/L53,NA())</f>
        <v>#N/A</v>
      </c>
      <c r="AC53" s="12" t="str">
        <f>IF(A53&lt;('2. Inputs and results'!$C$23+1),AC52+C53+Y53-$V$6," ")</f>
        <v xml:space="preserve"> </v>
      </c>
      <c r="AD53" s="11" t="e">
        <f>IF(A53&lt;('2. Inputs and results'!$C$23+1),AC53/L53,NA())</f>
        <v>#N/A</v>
      </c>
      <c r="AE53" t="str">
        <f>IF(A53&lt;('2. Inputs and results'!$C$23+1),-'2. Inputs and results'!$C$124*A53," ")</f>
        <v xml:space="preserve"> </v>
      </c>
      <c r="AF53" t="e">
        <f>IF(A53&lt;('2. Inputs and results'!$C$23+1),AE53/1000,NA())</f>
        <v>#N/A</v>
      </c>
    </row>
    <row r="54" spans="1:32">
      <c r="A54">
        <f t="shared" si="0"/>
        <v>49</v>
      </c>
      <c r="B54" t="str">
        <f>IF(A54&lt;('2. Inputs and results'!$C$23+1),A54," ")</f>
        <v xml:space="preserve"> </v>
      </c>
      <c r="C54" s="4" t="str">
        <f>IF(A54&lt;('2. Inputs and results'!$C$23+1),'2. Inputs and results'!$C$101+'2. Inputs and results'!$C$103," ")</f>
        <v xml:space="preserve"> </v>
      </c>
      <c r="D54" s="4" t="e">
        <f>IF(A54&lt;('2. Inputs and results'!$C$23+1),D53+C54,NA())</f>
        <v>#N/A</v>
      </c>
      <c r="E54" s="4" t="str">
        <f>IF(A54&lt;('2. Inputs and results'!$C$23+1),C54/((1+$P$2)^A54)," ")</f>
        <v xml:space="preserve"> </v>
      </c>
      <c r="F54" s="4" t="str">
        <f>IF(B54&lt;('2. Inputs and results'!$C$23+1),F53+E54," ")</f>
        <v xml:space="preserve"> </v>
      </c>
      <c r="G54" s="4" t="str">
        <f>IF(A54&lt;('2. Inputs and results'!$C$23+1),G53*(1+'2. Inputs and results'!$C$48)," ")</f>
        <v xml:space="preserve"> </v>
      </c>
      <c r="H54" s="4" t="str">
        <f>IF(A54&lt;('2. Inputs and results'!$C$23+1),H53*(1+'2. Inputs and results'!$C$60)," ")</f>
        <v xml:space="preserve"> </v>
      </c>
      <c r="I54" s="4" t="str">
        <f>IF(A54&lt;('2. Inputs and results'!$C$23+1),I53*(1+'2. Inputs and results'!$C$36)," ")</f>
        <v xml:space="preserve"> </v>
      </c>
      <c r="J54" s="4" t="str">
        <f>IF(A54&lt;('2. Inputs and results'!$C$23+1),J53*(1+'2. Inputs and results'!$C$70)," ")</f>
        <v xml:space="preserve"> </v>
      </c>
      <c r="K54" s="4" t="e">
        <f>IF(A54&lt;('2. Inputs and results'!$C$23+1),K53+(G54+I54+H54+J54),NA())</f>
        <v>#N/A</v>
      </c>
      <c r="L54" s="4" t="e">
        <f>IF(A54&lt;('2. Inputs and results'!$C$23+1),L53,NA())</f>
        <v>#N/A</v>
      </c>
      <c r="M54" s="4" t="str">
        <f>IF(A54&lt;('2. Inputs and results'!$C$23+1),'2. Inputs and results'!$C$77*'2. Inputs and results'!$C$75," ")</f>
        <v xml:space="preserve"> </v>
      </c>
      <c r="N54" s="4" t="str">
        <f>IF(A54&lt;('2. Inputs and results'!$C$23+1),M54/((1+$P$2)^A54)," ")</f>
        <v xml:space="preserve"> </v>
      </c>
      <c r="O54" s="4" t="str">
        <f>IF(A54&lt;('2. Inputs and results'!$C$23+1),'2. Inputs and results'!$C$75*'2. Inputs and results'!$C$77+O53," ")</f>
        <v xml:space="preserve"> </v>
      </c>
      <c r="P54" s="4" t="str">
        <f>IF(A54&lt;('2. Inputs and results'!$C$23+1),(G54+I54+H54+J54)/((1+$P$2)^A54)," ")</f>
        <v xml:space="preserve"> </v>
      </c>
      <c r="Q54" s="4" t="str">
        <f>IF(A54&lt;('2. Inputs and results'!$C$23+1),Q53+P54," ")</f>
        <v xml:space="preserve"> </v>
      </c>
      <c r="R54" s="4" t="e">
        <f>IF(A54&lt;('2. Inputs and results'!$C$23+1),R53+G54+I54+H54+J54+T54-$V$6,NA())</f>
        <v>#N/A</v>
      </c>
      <c r="S54" s="4" t="str">
        <f>IF(A54&lt;('2. Inputs and results'!$C$23+1),'2. Inputs and results'!$C$81*(R53)," ")</f>
        <v xml:space="preserve"> </v>
      </c>
      <c r="T54" s="4">
        <f t="shared" si="1"/>
        <v>0</v>
      </c>
      <c r="U54" s="4" t="e">
        <f>IF(A54&lt;('2. Inputs and results'!$C$23+1),U53+((G54+I54+H54+J54-$V$6+T54)/((1+$P$2)^A54)),NA())</f>
        <v>#N/A</v>
      </c>
      <c r="V54" s="4" t="str">
        <f>IF(A54&lt;('2. Inputs and results'!$C$23+1),V53+('2. Inputs and results'!$C$77*'2. Inputs and results'!$C$75)," ")</f>
        <v xml:space="preserve"> </v>
      </c>
      <c r="W54" s="4" t="e">
        <f>IF(A54&lt;('2. Inputs and results'!$C$23+1),W53+C54+Y54-$V$6,NA())</f>
        <v>#N/A</v>
      </c>
      <c r="X54" s="4" t="str">
        <f>IF(A54&lt;('2. Inputs and results'!$C$23+1),'2. Inputs and results'!$C$81*(W53)," ")</f>
        <v xml:space="preserve"> </v>
      </c>
      <c r="Y54" s="4">
        <f t="shared" si="2"/>
        <v>0</v>
      </c>
      <c r="Z54" s="4" t="e">
        <f>IF(A54&lt;('2. Inputs and results'!$C$23+1),Z53+((C54-$V$6+Y54)/((1+$P$2)^A54)),NA())</f>
        <v>#N/A</v>
      </c>
      <c r="AA54" s="4" t="str">
        <f>IF(A54&lt;('2. Inputs and results'!$C$23+1),AA53+G54+I54+H54+T54-$V$6," ")</f>
        <v xml:space="preserve"> </v>
      </c>
      <c r="AB54" s="11" t="e">
        <f>IF(A54&lt;('2. Inputs and results'!$C$23+1),AA54/L54,NA())</f>
        <v>#N/A</v>
      </c>
      <c r="AC54" s="12" t="str">
        <f>IF(A54&lt;('2. Inputs and results'!$C$23+1),AC53+C54+Y54-$V$6," ")</f>
        <v xml:space="preserve"> </v>
      </c>
      <c r="AD54" s="11" t="e">
        <f>IF(A54&lt;('2. Inputs and results'!$C$23+1),AC54/L54,NA())</f>
        <v>#N/A</v>
      </c>
      <c r="AE54" t="str">
        <f>IF(A54&lt;('2. Inputs and results'!$C$23+1),-'2. Inputs and results'!$C$124*A54," ")</f>
        <v xml:space="preserve"> </v>
      </c>
      <c r="AF54" t="e">
        <f>IF(A54&lt;('2. Inputs and results'!$C$23+1),AE54/1000,NA())</f>
        <v>#N/A</v>
      </c>
    </row>
    <row r="55" spans="1:32">
      <c r="A55">
        <f t="shared" si="0"/>
        <v>50</v>
      </c>
      <c r="B55" t="str">
        <f>IF(A55&lt;('2. Inputs and results'!$C$23+1),A55," ")</f>
        <v xml:space="preserve"> </v>
      </c>
      <c r="C55" s="4" t="str">
        <f>IF(A55&lt;('2. Inputs and results'!$C$23+1),'2. Inputs and results'!$C$101+'2. Inputs and results'!$C$103," ")</f>
        <v xml:space="preserve"> </v>
      </c>
      <c r="D55" s="4" t="e">
        <f>IF(A55&lt;('2. Inputs and results'!$C$23+1),D54+C55,NA())</f>
        <v>#N/A</v>
      </c>
      <c r="E55" s="4" t="str">
        <f>IF(A55&lt;('2. Inputs and results'!$C$23+1),C55/((1+$P$2)^A55)," ")</f>
        <v xml:space="preserve"> </v>
      </c>
      <c r="F55" s="4" t="str">
        <f>IF(B55&lt;('2. Inputs and results'!$C$23+1),F54+E55," ")</f>
        <v xml:space="preserve"> </v>
      </c>
      <c r="G55" s="4" t="str">
        <f>IF(A55&lt;('2. Inputs and results'!$C$23+1),G54*(1+'2. Inputs and results'!$C$48)," ")</f>
        <v xml:space="preserve"> </v>
      </c>
      <c r="H55" s="4" t="str">
        <f>IF(A55&lt;('2. Inputs and results'!$C$23+1),H54*(1+'2. Inputs and results'!$C$60)," ")</f>
        <v xml:space="preserve"> </v>
      </c>
      <c r="I55" s="4" t="str">
        <f>IF(A55&lt;('2. Inputs and results'!$C$23+1),I54*(1+'2. Inputs and results'!$C$36)," ")</f>
        <v xml:space="preserve"> </v>
      </c>
      <c r="J55" s="4" t="str">
        <f>IF(A55&lt;('2. Inputs and results'!$C$23+1),J54*(1+'2. Inputs and results'!$C$70)," ")</f>
        <v xml:space="preserve"> </v>
      </c>
      <c r="K55" s="4" t="e">
        <f>IF(A55&lt;('2. Inputs and results'!$C$23+1),K54+(G55+I55+H55+J55),NA())</f>
        <v>#N/A</v>
      </c>
      <c r="L55" s="4" t="e">
        <f>IF(A55&lt;('2. Inputs and results'!$C$23+1),L54,NA())</f>
        <v>#N/A</v>
      </c>
      <c r="M55" s="4" t="str">
        <f>IF(A55&lt;('2. Inputs and results'!$C$23+1),'2. Inputs and results'!$C$77*'2. Inputs and results'!$C$75," ")</f>
        <v xml:space="preserve"> </v>
      </c>
      <c r="N55" s="4" t="str">
        <f>IF(A55&lt;('2. Inputs and results'!$C$23+1),M55/((1+$P$2)^A55)," ")</f>
        <v xml:space="preserve"> </v>
      </c>
      <c r="O55" s="4" t="str">
        <f>IF(A55&lt;('2. Inputs and results'!$C$23+1),'2. Inputs and results'!$C$75*'2. Inputs and results'!$C$77+O54," ")</f>
        <v xml:space="preserve"> </v>
      </c>
      <c r="P55" s="4" t="str">
        <f>IF(A55&lt;('2. Inputs and results'!$C$23+1),(G55+I55+H55+J55)/((1+$P$2)^A55)," ")</f>
        <v xml:space="preserve"> </v>
      </c>
      <c r="Q55" s="4" t="str">
        <f>IF(A55&lt;('2. Inputs and results'!$C$23+1),Q54+P55," ")</f>
        <v xml:space="preserve"> </v>
      </c>
      <c r="R55" s="4" t="e">
        <f>IF(A55&lt;('2. Inputs and results'!$C$23+1),R54+G55+I55+H55+J55+T55-$V$6,NA())</f>
        <v>#N/A</v>
      </c>
      <c r="S55" s="4" t="str">
        <f>IF(A55&lt;('2. Inputs and results'!$C$23+1),'2. Inputs and results'!$C$81*(R54)," ")</f>
        <v xml:space="preserve"> </v>
      </c>
      <c r="T55" s="4">
        <f t="shared" si="1"/>
        <v>0</v>
      </c>
      <c r="U55" s="4" t="e">
        <f>IF(A55&lt;('2. Inputs and results'!$C$23+1),U54+((G55+I55+H55+J55-$V$6+T55)/((1+$P$2)^A55)),NA())</f>
        <v>#N/A</v>
      </c>
      <c r="V55" s="4" t="str">
        <f>IF(A55&lt;('2. Inputs and results'!$C$23+1),V54+('2. Inputs and results'!$C$77*'2. Inputs and results'!$C$75)," ")</f>
        <v xml:space="preserve"> </v>
      </c>
      <c r="W55" s="4" t="e">
        <f>IF(A55&lt;('2. Inputs and results'!$C$23+1),W54+C55+Y55-$V$6,NA())</f>
        <v>#N/A</v>
      </c>
      <c r="X55" s="4" t="str">
        <f>IF(A55&lt;('2. Inputs and results'!$C$23+1),'2. Inputs and results'!$C$81*(W54)," ")</f>
        <v xml:space="preserve"> </v>
      </c>
      <c r="Y55" s="4">
        <f t="shared" si="2"/>
        <v>0</v>
      </c>
      <c r="Z55" s="4" t="e">
        <f>IF(A55&lt;('2. Inputs and results'!$C$23+1),Z54+((C55-$V$6+Y55)/((1+$P$2)^A55)),NA())</f>
        <v>#N/A</v>
      </c>
      <c r="AA55" s="4" t="str">
        <f>IF(A55&lt;('2. Inputs and results'!$C$23+1),AA54+G55+I55+H55+T55-$V$6," ")</f>
        <v xml:space="preserve"> </v>
      </c>
      <c r="AB55" s="11" t="e">
        <f>IF(A55&lt;('2. Inputs and results'!$C$23+1),AA55/L55,NA())</f>
        <v>#N/A</v>
      </c>
      <c r="AC55" s="12" t="str">
        <f>IF(A55&lt;('2. Inputs and results'!$C$23+1),AC54+C55+Y55-$V$6," ")</f>
        <v xml:space="preserve"> </v>
      </c>
      <c r="AD55" s="11" t="e">
        <f>IF(A55&lt;('2. Inputs and results'!$C$23+1),AC55/L55,NA())</f>
        <v>#N/A</v>
      </c>
      <c r="AE55" t="str">
        <f>IF(A55&lt;('2. Inputs and results'!$C$23+1),-'2. Inputs and results'!$C$124*A55," ")</f>
        <v xml:space="preserve"> </v>
      </c>
      <c r="AF55" t="e">
        <f>IF(A55&lt;('2. Inputs and results'!$C$23+1),AE55/1000,NA())</f>
        <v>#N/A</v>
      </c>
    </row>
    <row r="56" spans="1:32">
      <c r="G56" s="4"/>
      <c r="H56" s="4"/>
      <c r="I56" s="4"/>
      <c r="J56" s="4"/>
      <c r="R56" s="4"/>
    </row>
  </sheetData>
  <sheetProtection sheet="1" objects="1" scenarios="1"/>
  <conditionalFormatting sqref="D6:D55">
    <cfRule type="containsText" dxfId="0" priority="3" operator="containsText" text="#PUUTTUU!">
      <formula>NOT(ISERROR(SEARCH("#PUUTTUU!",D6)))</formula>
    </cfRule>
  </conditionalFormatting>
  <pageMargins left="0.7" right="0.7" top="0.75" bottom="0.75" header="0.3" footer="0.3"/>
  <pageSetup paperSize="9" scale="5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15"/>
  <sheetViews>
    <sheetView showGridLines="0" topLeftCell="A19" zoomScale="80" zoomScaleNormal="80" workbookViewId="0">
      <selection activeCell="D12" sqref="D12"/>
    </sheetView>
  </sheetViews>
  <sheetFormatPr defaultColWidth="9" defaultRowHeight="15"/>
  <cols>
    <col min="1" max="1" width="8.7109375" customWidth="1"/>
  </cols>
  <sheetData>
    <row r="1" spans="1:35" ht="75.75" customHeight="1">
      <c r="A1" s="215"/>
      <c r="B1" s="215"/>
      <c r="C1" s="215"/>
      <c r="D1" s="215"/>
      <c r="E1" s="215"/>
      <c r="F1" s="215"/>
      <c r="G1" s="215"/>
      <c r="H1" s="215"/>
      <c r="I1" s="215"/>
      <c r="J1" s="215"/>
      <c r="K1" s="215"/>
      <c r="L1" s="215"/>
      <c r="M1" s="215"/>
      <c r="N1" s="215"/>
      <c r="O1" s="215"/>
      <c r="P1" s="215"/>
      <c r="Q1" s="249"/>
      <c r="S1" s="43"/>
      <c r="T1" s="43"/>
      <c r="U1" s="43"/>
      <c r="V1" s="43"/>
      <c r="W1" s="43"/>
      <c r="X1" s="43"/>
      <c r="Y1" s="43"/>
      <c r="Z1" s="43"/>
      <c r="AA1" s="43"/>
      <c r="AB1" s="43"/>
      <c r="AC1" s="43"/>
      <c r="AD1" s="43"/>
      <c r="AE1" s="43"/>
      <c r="AF1" s="43"/>
      <c r="AG1" s="43"/>
      <c r="AH1" s="43"/>
      <c r="AI1" s="43"/>
    </row>
    <row r="2" spans="1:35" ht="26.25">
      <c r="A2" s="216" t="s">
        <v>19</v>
      </c>
      <c r="B2" s="217"/>
      <c r="C2" s="217"/>
      <c r="D2" s="217"/>
      <c r="E2" s="217"/>
      <c r="F2" s="217"/>
      <c r="G2" s="217"/>
      <c r="H2" s="217"/>
      <c r="I2" s="217"/>
      <c r="J2" s="217"/>
      <c r="K2" s="217"/>
      <c r="L2" s="217"/>
      <c r="M2" s="217"/>
      <c r="N2" s="217"/>
      <c r="O2" s="217"/>
      <c r="P2" s="217"/>
      <c r="Q2" s="250"/>
      <c r="R2" s="43"/>
      <c r="S2" s="43"/>
      <c r="T2" s="43"/>
      <c r="U2" s="43"/>
      <c r="V2" s="43"/>
      <c r="W2" s="43"/>
      <c r="X2" s="43"/>
      <c r="Y2" s="43"/>
      <c r="Z2" s="43"/>
      <c r="AA2" s="43"/>
      <c r="AB2" s="43"/>
      <c r="AC2" s="43"/>
      <c r="AD2" s="43"/>
      <c r="AE2" s="43"/>
      <c r="AF2" s="43"/>
      <c r="AG2" s="43"/>
      <c r="AH2" s="43"/>
      <c r="AI2" s="43"/>
    </row>
    <row r="3" spans="1:35">
      <c r="A3" s="218"/>
      <c r="B3" s="218"/>
      <c r="C3" s="218"/>
      <c r="D3" s="218"/>
      <c r="E3" s="218"/>
      <c r="F3" s="218"/>
      <c r="G3" s="218"/>
      <c r="H3" s="218"/>
      <c r="I3" s="218"/>
      <c r="J3" s="218"/>
      <c r="K3" s="218"/>
      <c r="L3" s="218"/>
      <c r="M3" s="218"/>
      <c r="N3" s="218"/>
      <c r="O3" s="218"/>
      <c r="P3" s="218"/>
      <c r="Q3" s="43"/>
      <c r="R3" s="43"/>
      <c r="S3" s="43"/>
      <c r="T3" s="43"/>
      <c r="U3" s="43"/>
      <c r="V3" s="43"/>
      <c r="W3" s="43"/>
      <c r="X3" s="43"/>
      <c r="Y3" s="43"/>
      <c r="Z3" s="43"/>
      <c r="AA3" s="43"/>
      <c r="AB3" s="43"/>
      <c r="AC3" s="43"/>
      <c r="AD3" s="43"/>
      <c r="AE3" s="43"/>
      <c r="AF3" s="43"/>
      <c r="AG3" s="43"/>
      <c r="AH3" s="43"/>
      <c r="AI3" s="43"/>
    </row>
    <row r="4" spans="1:35" ht="18.75">
      <c r="A4" s="219" t="s">
        <v>20</v>
      </c>
      <c r="B4" s="220"/>
      <c r="C4" s="220"/>
      <c r="D4" s="220"/>
      <c r="E4" s="220"/>
      <c r="F4" s="220"/>
      <c r="G4" s="220"/>
      <c r="H4" s="220"/>
      <c r="I4" s="220"/>
      <c r="J4" s="220"/>
      <c r="K4" s="220"/>
      <c r="L4" s="220"/>
      <c r="M4" s="220"/>
      <c r="N4" s="220"/>
      <c r="O4" s="220"/>
      <c r="P4" s="220"/>
      <c r="Q4" s="251"/>
      <c r="R4" s="43"/>
      <c r="S4" s="43"/>
      <c r="T4" s="43"/>
      <c r="U4" s="43"/>
      <c r="V4" s="43"/>
      <c r="W4" s="43"/>
      <c r="X4" s="43"/>
      <c r="Y4" s="43"/>
      <c r="Z4" s="43"/>
      <c r="AA4" s="43"/>
      <c r="AB4" s="43"/>
      <c r="AC4" s="43"/>
      <c r="AD4" s="43"/>
      <c r="AE4" s="43"/>
      <c r="AF4" s="43"/>
      <c r="AG4" s="43"/>
      <c r="AH4" s="43"/>
      <c r="AI4" s="43"/>
    </row>
    <row r="5" spans="1:35">
      <c r="A5" s="221"/>
      <c r="B5" s="218"/>
      <c r="C5" s="218"/>
      <c r="D5" s="218"/>
      <c r="E5" s="218"/>
      <c r="F5" s="218"/>
      <c r="G5" s="218"/>
      <c r="H5" s="218"/>
      <c r="I5" s="218"/>
      <c r="J5" s="218"/>
      <c r="K5" s="218"/>
      <c r="L5" s="218"/>
      <c r="M5" s="218"/>
      <c r="N5" s="218"/>
      <c r="O5" s="218"/>
      <c r="P5" s="218"/>
      <c r="Q5" s="43"/>
      <c r="R5" s="43"/>
      <c r="S5" s="43"/>
      <c r="T5" s="43"/>
      <c r="U5" s="43"/>
      <c r="V5" s="43"/>
      <c r="W5" s="43"/>
      <c r="X5" s="43"/>
      <c r="Y5" s="43"/>
      <c r="Z5" s="43"/>
      <c r="AA5" s="43"/>
      <c r="AB5" s="43"/>
      <c r="AC5" s="43"/>
      <c r="AD5" s="43"/>
      <c r="AE5" s="43"/>
      <c r="AF5" s="43"/>
      <c r="AG5" s="43"/>
      <c r="AH5" s="43"/>
      <c r="AI5" s="43"/>
    </row>
    <row r="6" spans="1:35" ht="18.75">
      <c r="A6" s="222" t="s">
        <v>21</v>
      </c>
      <c r="B6" s="223"/>
      <c r="C6" s="223"/>
      <c r="D6" s="223"/>
      <c r="E6" s="223"/>
      <c r="F6" s="223"/>
      <c r="G6" s="223"/>
      <c r="H6" s="223"/>
      <c r="I6" s="223"/>
      <c r="J6" s="223"/>
      <c r="K6" s="223"/>
      <c r="L6" s="223"/>
      <c r="M6" s="223"/>
      <c r="N6" s="223"/>
      <c r="O6" s="223"/>
      <c r="P6" s="223"/>
      <c r="Q6" s="252"/>
      <c r="R6" s="43"/>
      <c r="S6" s="43"/>
      <c r="T6" s="43"/>
      <c r="U6" s="43"/>
      <c r="V6" s="43"/>
      <c r="W6" s="43"/>
      <c r="X6" s="43"/>
      <c r="Y6" s="43"/>
      <c r="Z6" s="43"/>
      <c r="AA6" s="43"/>
      <c r="AB6" s="43"/>
      <c r="AC6" s="43"/>
      <c r="AD6" s="43"/>
      <c r="AE6" s="43"/>
      <c r="AF6" s="43"/>
      <c r="AG6" s="43"/>
      <c r="AH6" s="43"/>
      <c r="AI6" s="43"/>
    </row>
    <row r="7" spans="1:35">
      <c r="A7" s="224"/>
      <c r="B7" s="225"/>
      <c r="C7" s="225"/>
      <c r="D7" s="225"/>
      <c r="E7" s="225"/>
      <c r="F7" s="225"/>
      <c r="G7" s="225"/>
      <c r="H7" s="225"/>
      <c r="I7" s="225"/>
      <c r="J7" s="225"/>
      <c r="K7" s="225"/>
      <c r="L7" s="225"/>
      <c r="M7" s="225"/>
      <c r="N7" s="225"/>
      <c r="O7" s="225"/>
      <c r="P7" s="225"/>
      <c r="Q7" s="253"/>
      <c r="R7" s="43"/>
      <c r="S7" s="43"/>
      <c r="T7" s="43"/>
      <c r="U7" s="43"/>
      <c r="V7" s="43"/>
      <c r="W7" s="43"/>
      <c r="X7" s="43"/>
      <c r="Y7" s="43"/>
      <c r="Z7" s="43"/>
      <c r="AA7" s="43"/>
      <c r="AB7" s="43"/>
      <c r="AC7" s="43"/>
      <c r="AD7" s="43"/>
      <c r="AE7" s="43"/>
      <c r="AF7" s="43"/>
      <c r="AG7" s="43"/>
      <c r="AH7" s="43"/>
      <c r="AI7" s="43"/>
    </row>
    <row r="8" spans="1:35">
      <c r="A8" s="226" t="s">
        <v>22</v>
      </c>
      <c r="B8" s="225"/>
      <c r="C8" s="225"/>
      <c r="D8" s="225"/>
      <c r="E8" s="225"/>
      <c r="F8" s="225"/>
      <c r="G8" s="225"/>
      <c r="H8" s="225"/>
      <c r="I8" s="225"/>
      <c r="J8" s="225"/>
      <c r="K8" s="225"/>
      <c r="L8" s="225"/>
      <c r="M8" s="225"/>
      <c r="N8" s="225"/>
      <c r="O8" s="225"/>
      <c r="P8" s="225"/>
      <c r="Q8" s="253"/>
      <c r="R8" s="43"/>
      <c r="S8" s="43"/>
      <c r="T8" s="43"/>
      <c r="U8" s="43"/>
      <c r="V8" s="43"/>
      <c r="W8" s="43"/>
      <c r="X8" s="43"/>
      <c r="Y8" s="43"/>
      <c r="Z8" s="43"/>
      <c r="AA8" s="43"/>
      <c r="AB8" s="43"/>
      <c r="AC8" s="43"/>
      <c r="AD8" s="43"/>
      <c r="AE8" s="43"/>
      <c r="AF8" s="43"/>
      <c r="AG8" s="43"/>
      <c r="AH8" s="43"/>
      <c r="AI8" s="43"/>
    </row>
    <row r="9" spans="1:35">
      <c r="A9" s="226"/>
      <c r="B9" s="225"/>
      <c r="C9" s="225"/>
      <c r="D9" s="225"/>
      <c r="E9" s="225"/>
      <c r="F9" s="225"/>
      <c r="G9" s="225"/>
      <c r="H9" s="225"/>
      <c r="I9" s="225"/>
      <c r="J9" s="225"/>
      <c r="K9" s="225"/>
      <c r="L9" s="225"/>
      <c r="M9" s="225"/>
      <c r="N9" s="225"/>
      <c r="O9" s="225"/>
      <c r="P9" s="225"/>
      <c r="Q9" s="253"/>
      <c r="R9" s="43"/>
      <c r="S9" s="43"/>
      <c r="T9" s="43"/>
      <c r="U9" s="43"/>
      <c r="V9" s="43"/>
      <c r="W9" s="43"/>
      <c r="X9" s="43"/>
      <c r="Y9" s="43"/>
      <c r="Z9" s="43"/>
      <c r="AA9" s="43"/>
      <c r="AB9" s="43"/>
      <c r="AC9" s="43"/>
      <c r="AD9" s="43"/>
      <c r="AE9" s="43"/>
      <c r="AF9" s="43"/>
      <c r="AG9" s="43"/>
      <c r="AH9" s="43"/>
      <c r="AI9" s="43"/>
    </row>
    <row r="10" spans="1:35">
      <c r="A10" s="226" t="s">
        <v>23</v>
      </c>
      <c r="B10" s="225"/>
      <c r="C10" s="225"/>
      <c r="D10" s="225"/>
      <c r="E10" s="225"/>
      <c r="F10" s="225"/>
      <c r="G10" s="225"/>
      <c r="H10" s="225"/>
      <c r="I10" s="225"/>
      <c r="J10" s="225"/>
      <c r="K10" s="225"/>
      <c r="L10" s="225"/>
      <c r="M10" s="225"/>
      <c r="N10" s="225"/>
      <c r="O10" s="225"/>
      <c r="P10" s="225"/>
      <c r="Q10" s="253"/>
      <c r="R10" s="43"/>
      <c r="S10" s="43"/>
      <c r="T10" s="43"/>
      <c r="U10" s="43"/>
      <c r="V10" s="43"/>
      <c r="W10" s="43"/>
      <c r="X10" s="43"/>
      <c r="Y10" s="43"/>
      <c r="Z10" s="43"/>
      <c r="AA10" s="43"/>
      <c r="AB10" s="43"/>
      <c r="AC10" s="43"/>
      <c r="AD10" s="43"/>
      <c r="AE10" s="43"/>
      <c r="AF10" s="43"/>
      <c r="AG10" s="43"/>
      <c r="AH10" s="43"/>
      <c r="AI10" s="43"/>
    </row>
    <row r="11" spans="1:35">
      <c r="A11" s="226"/>
      <c r="B11" s="225"/>
      <c r="C11" s="225"/>
      <c r="D11" s="225"/>
      <c r="E11" s="225"/>
      <c r="F11" s="225"/>
      <c r="G11" s="225"/>
      <c r="H11" s="225"/>
      <c r="I11" s="225"/>
      <c r="J11" s="225"/>
      <c r="K11" s="225"/>
      <c r="L11" s="225"/>
      <c r="M11" s="225"/>
      <c r="N11" s="225"/>
      <c r="O11" s="225"/>
      <c r="P11" s="225"/>
      <c r="Q11" s="253"/>
      <c r="R11" s="43"/>
      <c r="S11" s="43"/>
      <c r="T11" s="43"/>
      <c r="U11" s="43"/>
      <c r="V11" s="43"/>
      <c r="W11" s="43"/>
      <c r="X11" s="43"/>
      <c r="Y11" s="43"/>
      <c r="Z11" s="43"/>
      <c r="AA11" s="43"/>
      <c r="AB11" s="43"/>
      <c r="AC11" s="43"/>
      <c r="AD11" s="43"/>
      <c r="AE11" s="43"/>
      <c r="AF11" s="43"/>
      <c r="AG11" s="43"/>
      <c r="AH11" s="43"/>
      <c r="AI11" s="43"/>
    </row>
    <row r="12" spans="1:35">
      <c r="A12" s="227" t="s">
        <v>24</v>
      </c>
      <c r="B12" s="225"/>
      <c r="C12" s="225"/>
      <c r="D12" s="225"/>
      <c r="E12" s="225"/>
      <c r="F12" s="225"/>
      <c r="G12" s="225"/>
      <c r="H12" s="225"/>
      <c r="I12" s="225"/>
      <c r="J12" s="225"/>
      <c r="K12" s="225"/>
      <c r="L12" s="225"/>
      <c r="M12" s="225"/>
      <c r="N12" s="225"/>
      <c r="O12" s="225"/>
      <c r="P12" s="225"/>
      <c r="Q12" s="253"/>
      <c r="R12" s="43"/>
      <c r="S12" s="43"/>
      <c r="T12" s="43"/>
      <c r="U12" s="43"/>
      <c r="V12" s="43"/>
      <c r="W12" s="43"/>
      <c r="X12" s="43"/>
      <c r="Y12" s="43"/>
      <c r="Z12" s="43"/>
      <c r="AA12" s="43"/>
      <c r="AB12" s="43"/>
      <c r="AC12" s="43"/>
      <c r="AD12" s="43"/>
      <c r="AE12" s="43"/>
      <c r="AF12" s="43"/>
      <c r="AG12" s="43"/>
      <c r="AH12" s="43"/>
      <c r="AI12" s="43"/>
    </row>
    <row r="13" spans="1:35">
      <c r="A13" s="227"/>
      <c r="B13" s="225"/>
      <c r="C13" s="225"/>
      <c r="D13" s="225"/>
      <c r="E13" s="225"/>
      <c r="F13" s="225"/>
      <c r="G13" s="225"/>
      <c r="H13" s="225"/>
      <c r="I13" s="225"/>
      <c r="J13" s="225"/>
      <c r="K13" s="225"/>
      <c r="L13" s="225"/>
      <c r="M13" s="225"/>
      <c r="N13" s="225"/>
      <c r="O13" s="225"/>
      <c r="P13" s="225"/>
      <c r="Q13" s="253"/>
      <c r="R13" s="43"/>
      <c r="S13" s="43"/>
      <c r="T13" s="43"/>
      <c r="U13" s="43"/>
      <c r="V13" s="43"/>
      <c r="W13" s="43"/>
      <c r="X13" s="43"/>
      <c r="Y13" s="43"/>
      <c r="Z13" s="43"/>
      <c r="AA13" s="43"/>
      <c r="AB13" s="43"/>
      <c r="AC13" s="43"/>
      <c r="AD13" s="43"/>
      <c r="AE13" s="43"/>
      <c r="AF13" s="43"/>
      <c r="AG13" s="43"/>
      <c r="AH13" s="43"/>
      <c r="AI13" s="43"/>
    </row>
    <row r="14" spans="1:35">
      <c r="A14" s="227" t="s">
        <v>25</v>
      </c>
      <c r="B14" s="225"/>
      <c r="C14" s="225"/>
      <c r="D14" s="225"/>
      <c r="E14" s="225"/>
      <c r="F14" s="225"/>
      <c r="G14" s="225"/>
      <c r="H14" s="225"/>
      <c r="I14" s="225"/>
      <c r="J14" s="225"/>
      <c r="K14" s="225"/>
      <c r="L14" s="225"/>
      <c r="M14" s="225"/>
      <c r="N14" s="225"/>
      <c r="O14" s="225"/>
      <c r="P14" s="225"/>
      <c r="Q14" s="253"/>
      <c r="R14" s="43"/>
      <c r="S14" s="43"/>
      <c r="T14" s="43"/>
      <c r="U14" s="43"/>
      <c r="V14" s="43"/>
      <c r="W14" s="43"/>
      <c r="X14" s="43"/>
      <c r="Y14" s="43"/>
      <c r="Z14" s="43"/>
      <c r="AA14" s="43"/>
      <c r="AB14" s="43"/>
      <c r="AC14" s="43"/>
      <c r="AD14" s="43"/>
      <c r="AE14" s="43"/>
      <c r="AF14" s="43"/>
      <c r="AG14" s="43"/>
      <c r="AH14" s="43"/>
      <c r="AI14" s="43"/>
    </row>
    <row r="15" spans="1:35">
      <c r="A15" s="227"/>
      <c r="B15" s="225"/>
      <c r="C15" s="225"/>
      <c r="D15" s="225"/>
      <c r="E15" s="225"/>
      <c r="F15" s="225"/>
      <c r="G15" s="225"/>
      <c r="H15" s="225"/>
      <c r="I15" s="225"/>
      <c r="J15" s="225"/>
      <c r="K15" s="225"/>
      <c r="L15" s="225"/>
      <c r="M15" s="225"/>
      <c r="N15" s="225"/>
      <c r="O15" s="225"/>
      <c r="P15" s="225"/>
      <c r="Q15" s="253"/>
      <c r="R15" s="43"/>
      <c r="S15" s="43"/>
      <c r="T15" s="43"/>
      <c r="U15" s="43"/>
      <c r="V15" s="43"/>
      <c r="W15" s="43"/>
      <c r="X15" s="43"/>
      <c r="Y15" s="43"/>
      <c r="Z15" s="43"/>
      <c r="AA15" s="43"/>
      <c r="AB15" s="43"/>
      <c r="AC15" s="43"/>
      <c r="AD15" s="43"/>
      <c r="AE15" s="43"/>
      <c r="AF15" s="43"/>
      <c r="AG15" s="43"/>
      <c r="AH15" s="43"/>
      <c r="AI15" s="43"/>
    </row>
    <row r="16" spans="1:35">
      <c r="A16" s="228" t="s">
        <v>26</v>
      </c>
      <c r="B16" s="225"/>
      <c r="C16" s="225"/>
      <c r="D16" s="225"/>
      <c r="E16" s="225"/>
      <c r="F16" s="225"/>
      <c r="G16" s="225"/>
      <c r="H16" s="225"/>
      <c r="I16" s="225"/>
      <c r="J16" s="225"/>
      <c r="K16" s="225"/>
      <c r="L16" s="225"/>
      <c r="M16" s="225"/>
      <c r="N16" s="225"/>
      <c r="O16" s="225"/>
      <c r="P16" s="225"/>
      <c r="Q16" s="253"/>
      <c r="R16" s="43"/>
      <c r="S16" s="43"/>
      <c r="T16" s="43"/>
      <c r="U16" s="43"/>
      <c r="V16" s="43"/>
      <c r="W16" s="43"/>
      <c r="X16" s="43"/>
      <c r="Y16" s="43"/>
      <c r="Z16" s="43"/>
      <c r="AA16" s="43"/>
      <c r="AB16" s="43"/>
      <c r="AC16" s="43"/>
      <c r="AD16" s="43"/>
      <c r="AE16" s="43"/>
      <c r="AF16" s="43"/>
      <c r="AG16" s="43"/>
      <c r="AH16" s="43"/>
      <c r="AI16" s="43"/>
    </row>
    <row r="17" spans="1:35">
      <c r="A17" s="229" t="s">
        <v>27</v>
      </c>
      <c r="B17" s="225"/>
      <c r="C17" s="225"/>
      <c r="D17" s="225"/>
      <c r="E17" s="225"/>
      <c r="F17" s="225"/>
      <c r="G17" s="225"/>
      <c r="H17" s="225"/>
      <c r="I17" s="225"/>
      <c r="J17" s="225"/>
      <c r="K17" s="225"/>
      <c r="L17" s="225"/>
      <c r="M17" s="225"/>
      <c r="N17" s="225"/>
      <c r="O17" s="225"/>
      <c r="P17" s="225"/>
      <c r="Q17" s="253"/>
      <c r="R17" s="43"/>
      <c r="S17" s="43"/>
      <c r="T17" s="43"/>
      <c r="U17" s="43"/>
      <c r="V17" s="43"/>
      <c r="W17" s="43"/>
      <c r="X17" s="43"/>
      <c r="Y17" s="43"/>
      <c r="Z17" s="43"/>
      <c r="AA17" s="43"/>
      <c r="AB17" s="43"/>
      <c r="AC17" s="43"/>
      <c r="AD17" s="43"/>
      <c r="AE17" s="43"/>
      <c r="AF17" s="43"/>
      <c r="AG17" s="43"/>
      <c r="AH17" s="43"/>
      <c r="AI17" s="43"/>
    </row>
    <row r="18" spans="1:35" ht="15.95" customHeight="1">
      <c r="A18" s="230"/>
      <c r="B18" s="225"/>
      <c r="C18" s="225"/>
      <c r="D18" s="225"/>
      <c r="E18" s="225"/>
      <c r="F18" s="225"/>
      <c r="G18" s="225"/>
      <c r="H18" s="225"/>
      <c r="I18" s="225"/>
      <c r="J18" s="225"/>
      <c r="K18" s="225"/>
      <c r="L18" s="225"/>
      <c r="M18" s="225"/>
      <c r="N18" s="225"/>
      <c r="O18" s="225"/>
      <c r="P18" s="225"/>
      <c r="Q18" s="253"/>
      <c r="R18" s="43"/>
      <c r="S18" s="43"/>
      <c r="T18" s="43"/>
      <c r="U18" s="43"/>
      <c r="V18" s="43"/>
      <c r="W18" s="43"/>
      <c r="X18" s="43"/>
      <c r="Y18" s="43"/>
      <c r="Z18" s="43"/>
      <c r="AA18" s="43"/>
      <c r="AB18" s="43"/>
      <c r="AC18" s="43"/>
      <c r="AD18" s="43"/>
      <c r="AE18" s="43"/>
      <c r="AF18" s="43"/>
      <c r="AG18" s="43"/>
      <c r="AH18" s="43"/>
      <c r="AI18" s="43"/>
    </row>
    <row r="19" spans="1:35">
      <c r="A19" s="229" t="s">
        <v>28</v>
      </c>
      <c r="B19" s="225"/>
      <c r="C19" s="225"/>
      <c r="D19" s="225"/>
      <c r="E19" s="225"/>
      <c r="F19" s="225"/>
      <c r="G19" s="225"/>
      <c r="H19" s="225"/>
      <c r="I19" s="225"/>
      <c r="J19" s="225"/>
      <c r="K19" s="225"/>
      <c r="L19" s="225"/>
      <c r="M19" s="225"/>
      <c r="N19" s="225"/>
      <c r="O19" s="225"/>
      <c r="P19" s="225"/>
      <c r="Q19" s="253"/>
      <c r="R19" s="43"/>
      <c r="S19" s="43"/>
      <c r="T19" s="43"/>
      <c r="U19" s="43"/>
      <c r="V19" s="43"/>
      <c r="W19" s="43"/>
      <c r="X19" s="43"/>
      <c r="Y19" s="43"/>
      <c r="Z19" s="43"/>
      <c r="AA19" s="43"/>
      <c r="AB19" s="43"/>
      <c r="AC19" s="43"/>
      <c r="AD19" s="43"/>
      <c r="AE19" s="43"/>
      <c r="AF19" s="43"/>
      <c r="AG19" s="43"/>
      <c r="AH19" s="43"/>
      <c r="AI19" s="43"/>
    </row>
    <row r="20" spans="1:35">
      <c r="A20" s="229" t="s">
        <v>29</v>
      </c>
      <c r="B20" s="225"/>
      <c r="C20" s="225"/>
      <c r="D20" s="225"/>
      <c r="E20" s="225"/>
      <c r="F20" s="225"/>
      <c r="G20" s="225"/>
      <c r="H20" s="225"/>
      <c r="I20" s="225"/>
      <c r="J20" s="225"/>
      <c r="K20" s="225"/>
      <c r="L20" s="225"/>
      <c r="M20" s="225"/>
      <c r="N20" s="225"/>
      <c r="O20" s="225"/>
      <c r="P20" s="225"/>
      <c r="Q20" s="253"/>
      <c r="R20" s="43"/>
      <c r="S20" s="43"/>
      <c r="T20" s="43"/>
      <c r="U20" s="43"/>
      <c r="V20" s="43"/>
      <c r="W20" s="43"/>
      <c r="X20" s="43"/>
      <c r="Y20" s="43"/>
      <c r="Z20" s="43"/>
      <c r="AA20" s="43"/>
      <c r="AB20" s="43"/>
      <c r="AC20" s="43"/>
      <c r="AD20" s="43"/>
      <c r="AE20" s="43"/>
      <c r="AF20" s="43"/>
      <c r="AG20" s="43"/>
      <c r="AH20" s="43"/>
      <c r="AI20" s="43"/>
    </row>
    <row r="21" spans="1:35">
      <c r="A21" s="230"/>
      <c r="B21" s="225"/>
      <c r="C21" s="225"/>
      <c r="D21" s="225"/>
      <c r="E21" s="225"/>
      <c r="F21" s="225"/>
      <c r="G21" s="225"/>
      <c r="H21" s="225"/>
      <c r="I21" s="225"/>
      <c r="J21" s="225"/>
      <c r="K21" s="225"/>
      <c r="L21" s="225"/>
      <c r="M21" s="225"/>
      <c r="N21" s="225"/>
      <c r="O21" s="225"/>
      <c r="P21" s="225"/>
      <c r="Q21" s="253"/>
      <c r="R21" s="43"/>
      <c r="S21" s="43"/>
      <c r="T21" s="43"/>
      <c r="U21" s="43"/>
      <c r="V21" s="43"/>
      <c r="W21" s="43"/>
      <c r="X21" s="43"/>
      <c r="Y21" s="43"/>
      <c r="Z21" s="43"/>
      <c r="AA21" s="43"/>
      <c r="AB21" s="43"/>
      <c r="AC21" s="43"/>
      <c r="AD21" s="43"/>
      <c r="AE21" s="43"/>
      <c r="AF21" s="43"/>
      <c r="AG21" s="43"/>
      <c r="AH21" s="43"/>
      <c r="AI21" s="43"/>
    </row>
    <row r="22" spans="1:35">
      <c r="A22" s="229" t="s">
        <v>30</v>
      </c>
      <c r="B22" s="225"/>
      <c r="C22" s="225"/>
      <c r="D22" s="225"/>
      <c r="E22" s="225"/>
      <c r="F22" s="225"/>
      <c r="G22" s="225"/>
      <c r="H22" s="225"/>
      <c r="I22" s="225"/>
      <c r="J22" s="225"/>
      <c r="K22" s="225"/>
      <c r="L22" s="225"/>
      <c r="M22" s="225"/>
      <c r="N22" s="225"/>
      <c r="O22" s="225"/>
      <c r="P22" s="225"/>
      <c r="Q22" s="253"/>
      <c r="R22" s="43"/>
      <c r="S22" s="43"/>
      <c r="T22" s="43"/>
      <c r="U22" s="43"/>
      <c r="V22" s="43"/>
      <c r="W22" s="43"/>
      <c r="X22" s="43"/>
      <c r="Y22" s="43"/>
      <c r="Z22" s="43"/>
      <c r="AA22" s="43"/>
      <c r="AB22" s="43"/>
      <c r="AC22" s="43"/>
      <c r="AD22" s="43"/>
      <c r="AE22" s="43"/>
      <c r="AF22" s="43"/>
      <c r="AG22" s="43"/>
      <c r="AH22" s="43"/>
      <c r="AI22" s="43"/>
    </row>
    <row r="23" spans="1:35">
      <c r="A23" s="229" t="s">
        <v>31</v>
      </c>
      <c r="B23" s="225"/>
      <c r="C23" s="225"/>
      <c r="D23" s="225"/>
      <c r="E23" s="225"/>
      <c r="F23" s="225"/>
      <c r="G23" s="225"/>
      <c r="H23" s="225"/>
      <c r="I23" s="225"/>
      <c r="J23" s="225"/>
      <c r="K23" s="225"/>
      <c r="L23" s="225"/>
      <c r="M23" s="225"/>
      <c r="N23" s="225"/>
      <c r="O23" s="225"/>
      <c r="P23" s="225"/>
      <c r="Q23" s="253"/>
      <c r="R23" s="43"/>
      <c r="S23" s="43"/>
      <c r="T23" s="43"/>
      <c r="U23" s="43"/>
      <c r="V23" s="43"/>
      <c r="W23" s="43"/>
      <c r="X23" s="43"/>
      <c r="Y23" s="43"/>
      <c r="Z23" s="43"/>
      <c r="AA23" s="43"/>
      <c r="AB23" s="43"/>
      <c r="AC23" s="43"/>
      <c r="AD23" s="43"/>
      <c r="AE23" s="43"/>
      <c r="AF23" s="43"/>
      <c r="AG23" s="43"/>
      <c r="AH23" s="43"/>
      <c r="AI23" s="43"/>
    </row>
    <row r="24" spans="1:35">
      <c r="A24" s="229"/>
      <c r="B24" s="225"/>
      <c r="C24" s="225"/>
      <c r="D24" s="225"/>
      <c r="E24" s="225"/>
      <c r="F24" s="225"/>
      <c r="G24" s="225"/>
      <c r="H24" s="225"/>
      <c r="I24" s="225"/>
      <c r="J24" s="225"/>
      <c r="K24" s="225"/>
      <c r="L24" s="225"/>
      <c r="M24" s="225"/>
      <c r="N24" s="225"/>
      <c r="O24" s="225"/>
      <c r="P24" s="225"/>
      <c r="Q24" s="253"/>
      <c r="R24" s="43"/>
      <c r="S24" s="43"/>
      <c r="T24" s="43"/>
      <c r="U24" s="43"/>
      <c r="V24" s="43"/>
      <c r="W24" s="43"/>
      <c r="X24" s="43"/>
      <c r="Y24" s="43"/>
      <c r="Z24" s="43"/>
      <c r="AA24" s="43"/>
      <c r="AB24" s="43"/>
      <c r="AC24" s="43"/>
      <c r="AD24" s="43"/>
      <c r="AE24" s="43"/>
      <c r="AF24" s="43"/>
      <c r="AG24" s="43"/>
      <c r="AH24" s="43"/>
      <c r="AI24" s="43"/>
    </row>
    <row r="25" spans="1:35">
      <c r="A25" s="229" t="s">
        <v>32</v>
      </c>
      <c r="B25" s="225"/>
      <c r="C25" s="225"/>
      <c r="D25" s="225"/>
      <c r="E25" s="225"/>
      <c r="F25" s="225"/>
      <c r="G25" s="225"/>
      <c r="H25" s="225"/>
      <c r="I25" s="225"/>
      <c r="J25" s="225"/>
      <c r="K25" s="225"/>
      <c r="L25" s="225"/>
      <c r="M25" s="225"/>
      <c r="N25" s="225"/>
      <c r="O25" s="225"/>
      <c r="P25" s="225"/>
      <c r="Q25" s="253"/>
      <c r="R25" s="43"/>
      <c r="S25" s="43"/>
      <c r="T25" s="43"/>
      <c r="U25" s="43"/>
      <c r="V25" s="43"/>
      <c r="W25" s="43"/>
      <c r="X25" s="43"/>
      <c r="Y25" s="43"/>
      <c r="Z25" s="43"/>
      <c r="AA25" s="43"/>
      <c r="AB25" s="43"/>
      <c r="AC25" s="43"/>
      <c r="AD25" s="43"/>
      <c r="AE25" s="43"/>
      <c r="AF25" s="43"/>
      <c r="AG25" s="43"/>
      <c r="AH25" s="43"/>
      <c r="AI25" s="43"/>
    </row>
    <row r="26" spans="1:35">
      <c r="A26" s="229"/>
      <c r="B26" s="225"/>
      <c r="C26" s="225"/>
      <c r="D26" s="225"/>
      <c r="E26" s="225"/>
      <c r="F26" s="225"/>
      <c r="G26" s="225"/>
      <c r="H26" s="225"/>
      <c r="I26" s="225"/>
      <c r="J26" s="232"/>
      <c r="K26" s="225"/>
      <c r="L26" s="225"/>
      <c r="M26" s="225"/>
      <c r="N26" s="225"/>
      <c r="O26" s="225"/>
      <c r="P26" s="225"/>
      <c r="Q26" s="253"/>
      <c r="R26" s="43"/>
      <c r="S26" s="43"/>
      <c r="T26" s="43"/>
      <c r="U26" s="43"/>
      <c r="V26" s="43"/>
      <c r="W26" s="43"/>
      <c r="X26" s="43"/>
      <c r="Y26" s="43"/>
      <c r="Z26" s="43"/>
      <c r="AA26" s="43"/>
      <c r="AB26" s="43"/>
      <c r="AC26" s="43"/>
      <c r="AD26" s="43"/>
      <c r="AE26" s="43"/>
      <c r="AF26" s="43"/>
      <c r="AG26" s="43"/>
      <c r="AH26" s="43"/>
      <c r="AI26" s="43"/>
    </row>
    <row r="27" spans="1:35">
      <c r="A27" s="229" t="s">
        <v>33</v>
      </c>
      <c r="B27" s="225"/>
      <c r="C27" s="225"/>
      <c r="D27" s="225"/>
      <c r="E27" s="225"/>
      <c r="F27" s="225"/>
      <c r="G27" s="225"/>
      <c r="H27" s="225"/>
      <c r="I27" s="225"/>
      <c r="J27" s="232"/>
      <c r="K27" s="225"/>
      <c r="L27" s="225"/>
      <c r="M27" s="225"/>
      <c r="N27" s="225"/>
      <c r="O27" s="225"/>
      <c r="P27" s="225"/>
      <c r="Q27" s="253"/>
      <c r="R27" s="43"/>
      <c r="S27" s="43"/>
      <c r="T27" s="43"/>
      <c r="U27" s="43"/>
      <c r="V27" s="43"/>
      <c r="W27" s="43"/>
      <c r="X27" s="43"/>
      <c r="Y27" s="43"/>
      <c r="Z27" s="43"/>
      <c r="AA27" s="43"/>
      <c r="AB27" s="43"/>
      <c r="AC27" s="43"/>
      <c r="AD27" s="43"/>
      <c r="AE27" s="43"/>
      <c r="AF27" s="43"/>
      <c r="AG27" s="43"/>
      <c r="AH27" s="43"/>
      <c r="AI27" s="43"/>
    </row>
    <row r="28" spans="1:35">
      <c r="A28" s="229" t="s">
        <v>34</v>
      </c>
      <c r="B28" s="225"/>
      <c r="C28" s="225"/>
      <c r="D28" s="225"/>
      <c r="E28" s="225"/>
      <c r="F28" s="225"/>
      <c r="G28" s="225"/>
      <c r="H28" s="225"/>
      <c r="I28" s="225"/>
      <c r="J28" s="232"/>
      <c r="K28" s="225"/>
      <c r="L28" s="225"/>
      <c r="M28" s="225"/>
      <c r="N28" s="225"/>
      <c r="O28" s="225"/>
      <c r="P28" s="225"/>
      <c r="Q28" s="253"/>
      <c r="R28" s="43"/>
      <c r="S28" s="43"/>
      <c r="T28" s="43"/>
      <c r="U28" s="43"/>
      <c r="V28" s="43"/>
      <c r="W28" s="43"/>
      <c r="X28" s="43"/>
      <c r="Y28" s="43"/>
      <c r="Z28" s="43"/>
      <c r="AA28" s="43"/>
      <c r="AB28" s="43"/>
      <c r="AC28" s="43"/>
      <c r="AD28" s="43"/>
      <c r="AE28" s="43"/>
      <c r="AF28" s="43"/>
      <c r="AG28" s="43"/>
      <c r="AH28" s="43"/>
      <c r="AI28" s="43"/>
    </row>
    <row r="29" spans="1:35">
      <c r="A29" s="229"/>
      <c r="B29" s="225"/>
      <c r="C29" s="225"/>
      <c r="D29" s="225"/>
      <c r="E29" s="225"/>
      <c r="F29" s="225"/>
      <c r="G29" s="225"/>
      <c r="H29" s="225"/>
      <c r="I29" s="225"/>
      <c r="J29" s="232"/>
      <c r="K29" s="225"/>
      <c r="L29" s="225"/>
      <c r="M29" s="225"/>
      <c r="N29" s="225"/>
      <c r="O29" s="225"/>
      <c r="P29" s="225"/>
      <c r="Q29" s="253"/>
      <c r="R29" s="43"/>
      <c r="S29" s="43"/>
      <c r="T29" s="43"/>
      <c r="U29" s="43"/>
      <c r="V29" s="43"/>
      <c r="W29" s="43"/>
      <c r="X29" s="43"/>
      <c r="Y29" s="43"/>
      <c r="Z29" s="43"/>
      <c r="AA29" s="43"/>
      <c r="AB29" s="43"/>
      <c r="AC29" s="43"/>
      <c r="AD29" s="43"/>
      <c r="AE29" s="43"/>
      <c r="AF29" s="43"/>
      <c r="AG29" s="43"/>
      <c r="AH29" s="43"/>
      <c r="AI29" s="43"/>
    </row>
    <row r="30" spans="1:35">
      <c r="A30" s="229" t="s">
        <v>35</v>
      </c>
      <c r="B30" s="225"/>
      <c r="C30" s="225"/>
      <c r="D30" s="225"/>
      <c r="E30" s="225"/>
      <c r="F30" s="225"/>
      <c r="G30" s="225"/>
      <c r="H30" s="225"/>
      <c r="I30" s="225"/>
      <c r="J30" s="232"/>
      <c r="K30" s="225"/>
      <c r="L30" s="225"/>
      <c r="M30" s="225"/>
      <c r="N30" s="225"/>
      <c r="O30" s="225"/>
      <c r="P30" s="225"/>
      <c r="Q30" s="253"/>
      <c r="R30" s="43"/>
      <c r="S30" s="43"/>
      <c r="T30" s="43"/>
      <c r="U30" s="43"/>
      <c r="V30" s="43"/>
      <c r="W30" s="43"/>
      <c r="X30" s="43"/>
      <c r="Y30" s="43"/>
      <c r="Z30" s="43"/>
      <c r="AA30" s="43"/>
      <c r="AB30" s="43"/>
      <c r="AC30" s="43"/>
      <c r="AD30" s="43"/>
      <c r="AE30" s="43"/>
      <c r="AF30" s="43"/>
      <c r="AG30" s="43"/>
      <c r="AH30" s="43"/>
      <c r="AI30" s="43"/>
    </row>
    <row r="31" spans="1:35">
      <c r="A31" s="229"/>
      <c r="B31" s="225"/>
      <c r="C31" s="225"/>
      <c r="D31" s="225"/>
      <c r="E31" s="225"/>
      <c r="F31" s="225"/>
      <c r="G31" s="225"/>
      <c r="H31" s="225"/>
      <c r="I31" s="225"/>
      <c r="J31" s="232"/>
      <c r="K31" s="225"/>
      <c r="L31" s="225"/>
      <c r="M31" s="225"/>
      <c r="N31" s="225"/>
      <c r="O31" s="225"/>
      <c r="P31" s="225"/>
      <c r="Q31" s="253"/>
      <c r="R31" s="43"/>
      <c r="S31" s="43"/>
      <c r="T31" s="43"/>
      <c r="U31" s="43"/>
      <c r="V31" s="43"/>
      <c r="W31" s="43"/>
      <c r="X31" s="43"/>
      <c r="Y31" s="43"/>
      <c r="Z31" s="43"/>
      <c r="AA31" s="43"/>
      <c r="AB31" s="43"/>
      <c r="AC31" s="43"/>
      <c r="AD31" s="43"/>
      <c r="AE31" s="43"/>
      <c r="AF31" s="43"/>
      <c r="AG31" s="43"/>
      <c r="AH31" s="43"/>
      <c r="AI31" s="43"/>
    </row>
    <row r="32" spans="1:35">
      <c r="A32" s="227" t="s">
        <v>36</v>
      </c>
      <c r="B32" s="225"/>
      <c r="C32" s="225"/>
      <c r="D32" s="225"/>
      <c r="E32" s="225"/>
      <c r="F32" s="225"/>
      <c r="G32" s="225"/>
      <c r="H32" s="225"/>
      <c r="I32" s="225"/>
      <c r="J32" s="235"/>
      <c r="K32" s="225"/>
      <c r="L32" s="225"/>
      <c r="M32" s="225"/>
      <c r="N32" s="225"/>
      <c r="O32" s="225"/>
      <c r="P32" s="225"/>
      <c r="Q32" s="253"/>
      <c r="R32" s="43"/>
      <c r="S32" s="43"/>
      <c r="T32" s="43"/>
      <c r="U32" s="43"/>
      <c r="V32" s="43"/>
      <c r="W32" s="43"/>
      <c r="X32" s="43"/>
      <c r="Y32" s="43"/>
      <c r="Z32" s="43"/>
      <c r="AA32" s="43"/>
      <c r="AB32" s="43"/>
      <c r="AC32" s="43"/>
      <c r="AD32" s="43"/>
      <c r="AE32" s="43"/>
      <c r="AF32" s="43"/>
      <c r="AG32" s="43"/>
      <c r="AH32" s="43"/>
      <c r="AI32" s="43"/>
    </row>
    <row r="33" spans="1:35">
      <c r="A33" s="229" t="s">
        <v>37</v>
      </c>
      <c r="B33" s="225"/>
      <c r="C33" s="225"/>
      <c r="D33" s="225"/>
      <c r="E33" s="225"/>
      <c r="F33" s="225"/>
      <c r="G33" s="225"/>
      <c r="H33" s="225"/>
      <c r="I33" s="225"/>
      <c r="J33" s="235"/>
      <c r="K33" s="225"/>
      <c r="L33" s="225"/>
      <c r="M33" s="225"/>
      <c r="N33" s="225"/>
      <c r="O33" s="225"/>
      <c r="P33" s="225"/>
      <c r="Q33" s="253"/>
      <c r="R33" s="43"/>
      <c r="S33" s="43"/>
      <c r="T33" s="43"/>
      <c r="U33" s="43"/>
      <c r="V33" s="43"/>
      <c r="W33" s="43"/>
      <c r="X33" s="43"/>
      <c r="Y33" s="43"/>
      <c r="Z33" s="43"/>
      <c r="AA33" s="43"/>
      <c r="AB33" s="43"/>
      <c r="AC33" s="43"/>
      <c r="AD33" s="43"/>
      <c r="AE33" s="43"/>
      <c r="AF33" s="43"/>
      <c r="AG33" s="43"/>
      <c r="AH33" s="43"/>
      <c r="AI33" s="43"/>
    </row>
    <row r="34" spans="1:35">
      <c r="A34" s="229" t="s">
        <v>38</v>
      </c>
      <c r="B34" s="225"/>
      <c r="C34" s="225"/>
      <c r="D34" s="225"/>
      <c r="E34" s="225"/>
      <c r="F34" s="225"/>
      <c r="G34" s="225"/>
      <c r="H34" s="225"/>
      <c r="I34" s="225"/>
      <c r="J34" s="225"/>
      <c r="K34" s="225"/>
      <c r="L34" s="225"/>
      <c r="M34" s="225"/>
      <c r="N34" s="225"/>
      <c r="O34" s="225"/>
      <c r="P34" s="225"/>
      <c r="Q34" s="253"/>
      <c r="R34" s="43"/>
      <c r="S34" s="43"/>
      <c r="T34" s="43"/>
      <c r="U34" s="43"/>
      <c r="V34" s="43"/>
      <c r="W34" s="43"/>
      <c r="X34" s="43"/>
      <c r="Y34" s="43"/>
      <c r="Z34" s="43"/>
      <c r="AA34" s="43"/>
      <c r="AB34" s="43"/>
      <c r="AC34" s="43"/>
      <c r="AD34" s="43"/>
      <c r="AE34" s="43"/>
      <c r="AF34" s="43"/>
      <c r="AG34" s="43"/>
      <c r="AH34" s="43"/>
      <c r="AI34" s="43"/>
    </row>
    <row r="35" spans="1:35">
      <c r="A35" s="229"/>
      <c r="B35" s="225"/>
      <c r="C35" s="225"/>
      <c r="D35" s="225"/>
      <c r="E35" s="225"/>
      <c r="F35" s="225"/>
      <c r="G35" s="225"/>
      <c r="H35" s="225"/>
      <c r="I35" s="225"/>
      <c r="J35" s="225"/>
      <c r="K35" s="225"/>
      <c r="L35" s="225"/>
      <c r="M35" s="225"/>
      <c r="N35" s="225"/>
      <c r="O35" s="225"/>
      <c r="P35" s="225"/>
      <c r="Q35" s="253"/>
      <c r="R35" s="43"/>
      <c r="S35" s="43"/>
      <c r="T35" s="43"/>
      <c r="U35" s="43"/>
      <c r="V35" s="43"/>
      <c r="W35" s="43"/>
      <c r="X35" s="43"/>
      <c r="Y35" s="43"/>
      <c r="Z35" s="43"/>
      <c r="AA35" s="43"/>
      <c r="AB35" s="43"/>
      <c r="AC35" s="43"/>
      <c r="AD35" s="43"/>
      <c r="AE35" s="43"/>
      <c r="AF35" s="43"/>
      <c r="AG35" s="43"/>
      <c r="AH35" s="43"/>
      <c r="AI35" s="43"/>
    </row>
    <row r="36" spans="1:35">
      <c r="A36" s="231" t="s">
        <v>39</v>
      </c>
      <c r="B36" s="225"/>
      <c r="C36" s="225"/>
      <c r="D36" s="225"/>
      <c r="E36" s="225"/>
      <c r="F36" s="225"/>
      <c r="G36" s="225"/>
      <c r="H36" s="225"/>
      <c r="I36" s="225"/>
      <c r="J36" s="225"/>
      <c r="K36" s="225"/>
      <c r="L36" s="225"/>
      <c r="M36" s="225"/>
      <c r="N36" s="225"/>
      <c r="O36" s="225"/>
      <c r="P36" s="225"/>
      <c r="Q36" s="253"/>
      <c r="R36" s="43"/>
      <c r="S36" s="43"/>
      <c r="T36" s="43"/>
      <c r="U36" s="43"/>
      <c r="V36" s="43"/>
      <c r="W36" s="43"/>
      <c r="X36" s="43"/>
      <c r="Y36" s="43"/>
      <c r="Z36" s="43"/>
      <c r="AA36" s="43"/>
      <c r="AB36" s="43"/>
      <c r="AC36" s="43"/>
      <c r="AD36" s="43"/>
      <c r="AE36" s="43"/>
      <c r="AF36" s="43"/>
      <c r="AG36" s="43"/>
      <c r="AH36" s="43"/>
      <c r="AI36" s="43"/>
    </row>
    <row r="37" spans="1:35">
      <c r="A37" s="229" t="s">
        <v>40</v>
      </c>
      <c r="B37" s="225"/>
      <c r="C37" s="225"/>
      <c r="D37" s="225"/>
      <c r="E37" s="225"/>
      <c r="F37" s="225"/>
      <c r="G37" s="225"/>
      <c r="H37" s="225"/>
      <c r="I37" s="225"/>
      <c r="J37" s="225"/>
      <c r="K37" s="225"/>
      <c r="L37" s="225"/>
      <c r="M37" s="225"/>
      <c r="N37" s="225"/>
      <c r="O37" s="225"/>
      <c r="P37" s="225"/>
      <c r="Q37" s="253"/>
      <c r="R37" s="43"/>
      <c r="S37" s="43"/>
      <c r="T37" s="43"/>
      <c r="U37" s="43"/>
      <c r="V37" s="43"/>
      <c r="W37" s="43"/>
      <c r="X37" s="43"/>
      <c r="Y37" s="43"/>
      <c r="Z37" s="43"/>
      <c r="AA37" s="43"/>
      <c r="AB37" s="43"/>
      <c r="AC37" s="43"/>
      <c r="AD37" s="43"/>
      <c r="AE37" s="43"/>
      <c r="AF37" s="43"/>
      <c r="AG37" s="43"/>
      <c r="AH37" s="43"/>
      <c r="AI37" s="43"/>
    </row>
    <row r="38" spans="1:35">
      <c r="A38" s="232"/>
      <c r="B38" s="225"/>
      <c r="C38" s="225"/>
      <c r="D38" s="225"/>
      <c r="E38" s="225"/>
      <c r="F38" s="225"/>
      <c r="G38" s="225"/>
      <c r="H38" s="225"/>
      <c r="I38" s="225"/>
      <c r="J38" s="225"/>
      <c r="K38" s="225"/>
      <c r="L38" s="225"/>
      <c r="M38" s="225"/>
      <c r="N38" s="225"/>
      <c r="O38" s="225"/>
      <c r="P38" s="225"/>
      <c r="Q38" s="253"/>
      <c r="R38" s="43"/>
      <c r="S38" s="43"/>
      <c r="T38" s="43"/>
      <c r="U38" s="43"/>
      <c r="V38" s="43"/>
      <c r="W38" s="43"/>
      <c r="X38" s="43"/>
      <c r="Y38" s="43"/>
      <c r="Z38" s="43"/>
      <c r="AA38" s="43"/>
      <c r="AB38" s="43"/>
      <c r="AC38" s="43"/>
      <c r="AD38" s="43"/>
      <c r="AE38" s="43"/>
      <c r="AF38" s="43"/>
      <c r="AG38" s="43"/>
      <c r="AH38" s="43"/>
      <c r="AI38" s="43"/>
    </row>
    <row r="39" spans="1:35">
      <c r="A39" s="229" t="s">
        <v>41</v>
      </c>
      <c r="B39" s="225"/>
      <c r="C39" s="225"/>
      <c r="D39" s="225"/>
      <c r="E39" s="225"/>
      <c r="F39" s="225"/>
      <c r="G39" s="225"/>
      <c r="H39" s="225"/>
      <c r="I39" s="225"/>
      <c r="J39" s="225"/>
      <c r="K39" s="225"/>
      <c r="L39" s="225"/>
      <c r="M39" s="225"/>
      <c r="N39" s="225"/>
      <c r="O39" s="225"/>
      <c r="P39" s="225"/>
      <c r="Q39" s="253"/>
      <c r="R39" s="43"/>
      <c r="S39" s="43"/>
      <c r="T39" s="43"/>
      <c r="U39" s="43"/>
      <c r="V39" s="43"/>
      <c r="W39" s="43"/>
      <c r="X39" s="43"/>
      <c r="Y39" s="43"/>
      <c r="Z39" s="43"/>
      <c r="AA39" s="43"/>
      <c r="AB39" s="43"/>
      <c r="AC39" s="43"/>
      <c r="AD39" s="43"/>
      <c r="AE39" s="43"/>
      <c r="AF39" s="43"/>
      <c r="AG39" s="43"/>
      <c r="AH39" s="43"/>
      <c r="AI39" s="43"/>
    </row>
    <row r="40" spans="1:35">
      <c r="A40" s="230"/>
      <c r="B40" s="225"/>
      <c r="C40" s="225"/>
      <c r="D40" s="225"/>
      <c r="E40" s="225"/>
      <c r="F40" s="225"/>
      <c r="G40" s="225"/>
      <c r="H40" s="225"/>
      <c r="I40" s="225"/>
      <c r="J40" s="225"/>
      <c r="K40" s="225"/>
      <c r="L40" s="225"/>
      <c r="M40" s="225"/>
      <c r="N40" s="225"/>
      <c r="O40" s="225"/>
      <c r="P40" s="225"/>
      <c r="Q40" s="253"/>
      <c r="R40" s="43"/>
      <c r="S40" s="43"/>
      <c r="T40" s="43"/>
      <c r="U40" s="43"/>
      <c r="V40" s="43"/>
      <c r="W40" s="43"/>
      <c r="X40" s="43"/>
      <c r="Y40" s="43"/>
      <c r="Z40" s="43"/>
      <c r="AA40" s="43"/>
      <c r="AB40" s="43"/>
      <c r="AC40" s="43"/>
      <c r="AD40" s="43"/>
      <c r="AE40" s="43"/>
      <c r="AF40" s="43"/>
      <c r="AG40" s="43"/>
      <c r="AH40" s="43"/>
      <c r="AI40" s="43"/>
    </row>
    <row r="41" spans="1:35">
      <c r="A41" s="229" t="s">
        <v>42</v>
      </c>
      <c r="B41" s="225"/>
      <c r="C41" s="225"/>
      <c r="D41" s="225"/>
      <c r="E41" s="225"/>
      <c r="F41" s="225"/>
      <c r="G41" s="225"/>
      <c r="H41" s="225"/>
      <c r="I41" s="225"/>
      <c r="J41" s="225"/>
      <c r="K41" s="225"/>
      <c r="L41" s="225"/>
      <c r="M41" s="225"/>
      <c r="N41" s="225"/>
      <c r="O41" s="225"/>
      <c r="P41" s="225"/>
      <c r="Q41" s="253"/>
      <c r="R41" s="43"/>
      <c r="S41" s="43"/>
      <c r="T41" s="43"/>
      <c r="U41" s="43"/>
      <c r="V41" s="43"/>
      <c r="W41" s="43"/>
      <c r="X41" s="43"/>
      <c r="Y41" s="43"/>
      <c r="Z41" s="43"/>
      <c r="AA41" s="43"/>
      <c r="AB41" s="43"/>
      <c r="AC41" s="43"/>
      <c r="AD41" s="43"/>
      <c r="AE41" s="43"/>
      <c r="AF41" s="43"/>
      <c r="AG41" s="43"/>
      <c r="AH41" s="43"/>
      <c r="AI41" s="43"/>
    </row>
    <row r="42" spans="1:35">
      <c r="A42" s="232"/>
      <c r="B42" s="225"/>
      <c r="C42" s="225"/>
      <c r="D42" s="225"/>
      <c r="E42" s="225"/>
      <c r="F42" s="225"/>
      <c r="G42" s="225"/>
      <c r="H42" s="225"/>
      <c r="I42" s="225"/>
      <c r="J42" s="225"/>
      <c r="K42" s="225"/>
      <c r="L42" s="225"/>
      <c r="M42" s="225"/>
      <c r="N42" s="225"/>
      <c r="O42" s="225"/>
      <c r="P42" s="225"/>
      <c r="Q42" s="253"/>
      <c r="R42" s="43"/>
      <c r="S42" s="43"/>
      <c r="T42" s="43"/>
      <c r="U42" s="43"/>
      <c r="V42" s="43"/>
      <c r="W42" s="43"/>
      <c r="X42" s="43"/>
      <c r="Y42" s="43"/>
      <c r="Z42" s="43"/>
      <c r="AA42" s="43"/>
      <c r="AB42" s="43"/>
      <c r="AC42" s="43"/>
      <c r="AD42" s="43"/>
      <c r="AE42" s="43"/>
      <c r="AF42" s="43"/>
      <c r="AG42" s="43"/>
      <c r="AH42" s="43"/>
      <c r="AI42" s="43"/>
    </row>
    <row r="43" spans="1:35">
      <c r="A43" s="229" t="s">
        <v>43</v>
      </c>
      <c r="B43" s="225"/>
      <c r="C43" s="225"/>
      <c r="D43" s="225"/>
      <c r="E43" s="225"/>
      <c r="F43" s="225"/>
      <c r="G43" s="225"/>
      <c r="H43" s="225"/>
      <c r="I43" s="225"/>
      <c r="J43" s="225"/>
      <c r="K43" s="225"/>
      <c r="L43" s="225"/>
      <c r="M43" s="225"/>
      <c r="N43" s="225"/>
      <c r="O43" s="225"/>
      <c r="P43" s="225"/>
      <c r="Q43" s="253"/>
      <c r="R43" s="43"/>
      <c r="S43" s="43"/>
      <c r="T43" s="43"/>
      <c r="U43" s="43"/>
      <c r="V43" s="43"/>
      <c r="W43" s="43"/>
      <c r="X43" s="43"/>
      <c r="Y43" s="43"/>
      <c r="Z43" s="43"/>
      <c r="AA43" s="43"/>
      <c r="AB43" s="43"/>
      <c r="AC43" s="43"/>
      <c r="AD43" s="43"/>
      <c r="AE43" s="43"/>
      <c r="AF43" s="43"/>
      <c r="AG43" s="43"/>
      <c r="AH43" s="43"/>
      <c r="AI43" s="43"/>
    </row>
    <row r="44" spans="1:35">
      <c r="A44" s="229" t="s">
        <v>44</v>
      </c>
      <c r="B44" s="225"/>
      <c r="C44" s="225"/>
      <c r="D44" s="225"/>
      <c r="E44" s="225"/>
      <c r="F44" s="225"/>
      <c r="G44" s="225"/>
      <c r="H44" s="225"/>
      <c r="I44" s="225"/>
      <c r="J44" s="225"/>
      <c r="K44" s="225"/>
      <c r="L44" s="225"/>
      <c r="M44" s="225"/>
      <c r="N44" s="225"/>
      <c r="O44" s="225"/>
      <c r="P44" s="225"/>
      <c r="Q44" s="253"/>
      <c r="R44" s="43"/>
      <c r="S44" s="43"/>
      <c r="T44" s="43"/>
      <c r="U44" s="43"/>
      <c r="V44" s="43"/>
      <c r="W44" s="43"/>
      <c r="X44" s="43"/>
      <c r="Y44" s="43"/>
      <c r="Z44" s="43"/>
      <c r="AA44" s="43"/>
      <c r="AB44" s="43"/>
      <c r="AC44" s="43"/>
      <c r="AD44" s="43"/>
      <c r="AE44" s="43"/>
      <c r="AF44" s="43"/>
      <c r="AG44" s="43"/>
      <c r="AH44" s="43"/>
      <c r="AI44" s="43"/>
    </row>
    <row r="45" spans="1:35">
      <c r="A45" s="232"/>
      <c r="B45" s="225"/>
      <c r="C45" s="225"/>
      <c r="D45" s="225"/>
      <c r="E45" s="225"/>
      <c r="F45" s="225"/>
      <c r="G45" s="225"/>
      <c r="H45" s="225"/>
      <c r="I45" s="225"/>
      <c r="J45" s="225"/>
      <c r="K45" s="225"/>
      <c r="L45" s="225"/>
      <c r="M45" s="225"/>
      <c r="N45" s="225"/>
      <c r="O45" s="225"/>
      <c r="P45" s="225"/>
      <c r="Q45" s="253"/>
      <c r="R45" s="43"/>
      <c r="S45" s="43"/>
      <c r="T45" s="43"/>
      <c r="U45" s="43"/>
      <c r="V45" s="43"/>
      <c r="W45" s="43"/>
      <c r="X45" s="43"/>
      <c r="Y45" s="43"/>
      <c r="Z45" s="43"/>
      <c r="AA45" s="43"/>
      <c r="AB45" s="43"/>
      <c r="AC45" s="43"/>
      <c r="AD45" s="43"/>
      <c r="AE45" s="43"/>
      <c r="AF45" s="43"/>
      <c r="AG45" s="43"/>
      <c r="AH45" s="43"/>
      <c r="AI45" s="43"/>
    </row>
    <row r="46" spans="1:35">
      <c r="A46" s="229"/>
      <c r="B46" s="225"/>
      <c r="C46" s="225"/>
      <c r="D46" s="225"/>
      <c r="E46" s="225"/>
      <c r="F46" s="225"/>
      <c r="G46" s="225"/>
      <c r="H46" s="225"/>
      <c r="I46" s="225"/>
      <c r="J46" s="225"/>
      <c r="K46" s="225"/>
      <c r="L46" s="225"/>
      <c r="M46" s="225"/>
      <c r="N46" s="225"/>
      <c r="O46" s="225"/>
      <c r="P46" s="225"/>
      <c r="Q46" s="253"/>
      <c r="R46" s="43"/>
      <c r="S46" s="43"/>
      <c r="T46" s="43"/>
      <c r="U46" s="43"/>
      <c r="V46" s="43"/>
      <c r="W46" s="43"/>
      <c r="X46" s="43"/>
      <c r="Y46" s="43"/>
      <c r="Z46" s="43"/>
      <c r="AA46" s="43"/>
      <c r="AB46" s="43"/>
      <c r="AC46" s="43"/>
      <c r="AD46" s="43"/>
      <c r="AE46" s="43"/>
      <c r="AF46" s="43"/>
      <c r="AG46" s="43"/>
      <c r="AH46" s="43"/>
      <c r="AI46" s="43"/>
    </row>
    <row r="47" spans="1:35">
      <c r="A47" s="228" t="s">
        <v>45</v>
      </c>
      <c r="B47" s="225"/>
      <c r="C47" s="225"/>
      <c r="D47" s="225"/>
      <c r="E47" s="225"/>
      <c r="F47" s="225"/>
      <c r="G47" s="225"/>
      <c r="H47" s="225"/>
      <c r="I47" s="225"/>
      <c r="J47" s="225"/>
      <c r="K47" s="225"/>
      <c r="L47" s="225"/>
      <c r="M47" s="225"/>
      <c r="N47" s="225"/>
      <c r="O47" s="225"/>
      <c r="P47" s="225"/>
      <c r="Q47" s="253"/>
      <c r="R47" s="43"/>
      <c r="S47" s="43"/>
      <c r="T47" s="43"/>
      <c r="U47" s="43"/>
      <c r="V47" s="43"/>
      <c r="W47" s="43"/>
      <c r="X47" s="43"/>
      <c r="Y47" s="43"/>
      <c r="Z47" s="43"/>
      <c r="AA47" s="43"/>
      <c r="AB47" s="43"/>
      <c r="AC47" s="43"/>
      <c r="AD47" s="43"/>
      <c r="AE47" s="43"/>
      <c r="AF47" s="43"/>
      <c r="AG47" s="43"/>
      <c r="AH47" s="43"/>
      <c r="AI47" s="43"/>
    </row>
    <row r="48" spans="1:35">
      <c r="A48" s="229" t="s">
        <v>46</v>
      </c>
      <c r="B48" s="225"/>
      <c r="C48" s="225"/>
      <c r="D48" s="225"/>
      <c r="E48" s="225"/>
      <c r="F48" s="225"/>
      <c r="G48" s="225"/>
      <c r="H48" s="225"/>
      <c r="I48" s="225"/>
      <c r="J48" s="225"/>
      <c r="K48" s="225"/>
      <c r="L48" s="225"/>
      <c r="M48" s="225"/>
      <c r="N48" s="225"/>
      <c r="O48" s="225"/>
      <c r="P48" s="225"/>
      <c r="Q48" s="253"/>
      <c r="R48" s="43"/>
      <c r="S48" s="43"/>
      <c r="T48" s="43"/>
      <c r="U48" s="43"/>
      <c r="V48" s="43"/>
      <c r="W48" s="43"/>
      <c r="X48" s="43"/>
      <c r="Y48" s="43"/>
      <c r="Z48" s="43"/>
      <c r="AA48" s="43"/>
      <c r="AB48" s="43"/>
      <c r="AC48" s="43"/>
      <c r="AD48" s="43"/>
      <c r="AE48" s="43"/>
      <c r="AF48" s="43"/>
      <c r="AG48" s="43"/>
      <c r="AH48" s="43"/>
      <c r="AI48" s="43"/>
    </row>
    <row r="49" spans="1:35">
      <c r="A49" s="230" t="s">
        <v>47</v>
      </c>
      <c r="B49" s="232"/>
      <c r="C49" s="225"/>
      <c r="D49" s="225"/>
      <c r="E49" s="225"/>
      <c r="F49" s="232"/>
      <c r="G49" s="225"/>
      <c r="H49" s="225"/>
      <c r="I49" s="248" t="s">
        <v>48</v>
      </c>
      <c r="J49" s="225"/>
      <c r="K49" s="225"/>
      <c r="L49" s="225"/>
      <c r="M49" s="225"/>
      <c r="N49" s="225"/>
      <c r="O49" s="225"/>
      <c r="P49" s="225"/>
      <c r="Q49" s="253"/>
      <c r="R49" s="43"/>
      <c r="S49" s="43"/>
      <c r="T49" s="43"/>
      <c r="U49" s="43"/>
      <c r="V49" s="43"/>
      <c r="W49" s="43"/>
      <c r="X49" s="43"/>
      <c r="Y49" s="43"/>
      <c r="Z49" s="43"/>
      <c r="AA49" s="43"/>
      <c r="AB49" s="43"/>
      <c r="AC49" s="43"/>
      <c r="AD49" s="43"/>
      <c r="AE49" s="43"/>
      <c r="AF49" s="43"/>
      <c r="AG49" s="43"/>
      <c r="AH49" s="43"/>
      <c r="AI49" s="43"/>
    </row>
    <row r="50" spans="1:35">
      <c r="A50" s="233" t="s">
        <v>49</v>
      </c>
      <c r="B50" s="234"/>
      <c r="C50" s="225"/>
      <c r="D50" s="225"/>
      <c r="E50" s="225"/>
      <c r="F50" s="225"/>
      <c r="G50" s="225"/>
      <c r="H50" s="225"/>
      <c r="I50" s="225"/>
      <c r="J50" s="225"/>
      <c r="K50" s="225"/>
      <c r="L50" s="225"/>
      <c r="M50" s="225"/>
      <c r="N50" s="225"/>
      <c r="O50" s="225"/>
      <c r="P50" s="225"/>
      <c r="Q50" s="253"/>
      <c r="R50" s="43"/>
      <c r="S50" s="43"/>
      <c r="T50" s="43"/>
      <c r="U50" s="43"/>
      <c r="V50" s="43"/>
      <c r="W50" s="43"/>
      <c r="X50" s="43"/>
      <c r="Y50" s="43"/>
      <c r="Z50" s="43"/>
      <c r="AA50" s="43"/>
      <c r="AB50" s="43"/>
      <c r="AC50" s="43"/>
      <c r="AD50" s="43"/>
      <c r="AE50" s="43"/>
      <c r="AF50" s="43"/>
      <c r="AG50" s="43"/>
      <c r="AH50" s="43"/>
      <c r="AI50" s="43"/>
    </row>
    <row r="51" spans="1:35">
      <c r="A51" s="233"/>
      <c r="B51" s="225"/>
      <c r="C51" s="225"/>
      <c r="D51" s="225"/>
      <c r="E51" s="225"/>
      <c r="F51" s="225"/>
      <c r="G51" s="225"/>
      <c r="H51" s="225"/>
      <c r="I51" s="225"/>
      <c r="J51" s="225"/>
      <c r="K51" s="225"/>
      <c r="L51" s="225"/>
      <c r="M51" s="225"/>
      <c r="N51" s="225"/>
      <c r="O51" s="225"/>
      <c r="P51" s="225"/>
      <c r="Q51" s="253"/>
      <c r="R51" s="43"/>
      <c r="S51" s="43"/>
      <c r="T51" s="43"/>
      <c r="U51" s="43"/>
      <c r="V51" s="43"/>
      <c r="W51" s="43"/>
      <c r="X51" s="43"/>
      <c r="Y51" s="43"/>
      <c r="Z51" s="43"/>
      <c r="AA51" s="43"/>
      <c r="AB51" s="43"/>
      <c r="AC51" s="43"/>
      <c r="AD51" s="43"/>
      <c r="AE51" s="43"/>
      <c r="AF51" s="43"/>
      <c r="AG51" s="43"/>
      <c r="AH51" s="43"/>
      <c r="AI51" s="43"/>
    </row>
    <row r="52" spans="1:35">
      <c r="A52" s="229" t="s">
        <v>50</v>
      </c>
      <c r="B52" s="225"/>
      <c r="C52" s="225"/>
      <c r="D52" s="225"/>
      <c r="E52" s="225"/>
      <c r="F52" s="225"/>
      <c r="G52" s="225"/>
      <c r="H52" s="225"/>
      <c r="I52" s="225"/>
      <c r="J52" s="225"/>
      <c r="K52" s="225"/>
      <c r="L52" s="225"/>
      <c r="M52" s="225"/>
      <c r="N52" s="225"/>
      <c r="O52" s="225"/>
      <c r="P52" s="225"/>
      <c r="Q52" s="253"/>
      <c r="R52" s="43"/>
      <c r="S52" s="43"/>
      <c r="T52" s="43"/>
      <c r="U52" s="43"/>
      <c r="V52" s="43"/>
      <c r="W52" s="43"/>
      <c r="X52" s="43"/>
      <c r="Y52" s="43"/>
      <c r="Z52" s="43"/>
      <c r="AA52" s="43"/>
      <c r="AB52" s="43"/>
      <c r="AC52" s="43"/>
      <c r="AD52" s="43"/>
      <c r="AE52" s="43"/>
      <c r="AF52" s="43"/>
      <c r="AG52" s="43"/>
      <c r="AH52" s="43"/>
      <c r="AI52" s="43"/>
    </row>
    <row r="53" spans="1:35">
      <c r="A53" s="230"/>
      <c r="B53" s="225"/>
      <c r="C53" s="225"/>
      <c r="D53" s="225"/>
      <c r="E53" s="225"/>
      <c r="F53" s="225"/>
      <c r="G53" s="225"/>
      <c r="H53" s="225"/>
      <c r="I53" s="225"/>
      <c r="J53" s="225"/>
      <c r="K53" s="225"/>
      <c r="L53" s="225"/>
      <c r="M53" s="225"/>
      <c r="N53" s="225"/>
      <c r="O53" s="225"/>
      <c r="P53" s="225"/>
      <c r="Q53" s="253"/>
      <c r="R53" s="43"/>
      <c r="S53" s="43"/>
      <c r="T53" s="43"/>
      <c r="U53" s="43"/>
      <c r="V53" s="43"/>
      <c r="W53" s="43"/>
      <c r="X53" s="43"/>
      <c r="Y53" s="43"/>
      <c r="Z53" s="43"/>
      <c r="AA53" s="43"/>
      <c r="AB53" s="43"/>
      <c r="AC53" s="43"/>
      <c r="AD53" s="43"/>
      <c r="AE53" s="43"/>
      <c r="AF53" s="43"/>
      <c r="AG53" s="43"/>
      <c r="AH53" s="43"/>
      <c r="AI53" s="43"/>
    </row>
    <row r="54" spans="1:35">
      <c r="A54" s="229"/>
      <c r="B54" s="235" t="s">
        <v>51</v>
      </c>
      <c r="C54" s="225"/>
      <c r="D54" s="225"/>
      <c r="E54" s="225"/>
      <c r="F54" s="225"/>
      <c r="G54" s="225"/>
      <c r="H54" s="225"/>
      <c r="I54" s="225"/>
      <c r="J54" s="225"/>
      <c r="K54" s="225"/>
      <c r="L54" s="225"/>
      <c r="M54" s="225"/>
      <c r="N54" s="225"/>
      <c r="O54" s="225"/>
      <c r="P54" s="225"/>
      <c r="Q54" s="253"/>
      <c r="R54" s="43"/>
      <c r="S54" s="43"/>
      <c r="T54" s="43"/>
      <c r="U54" s="43"/>
      <c r="V54" s="43"/>
      <c r="W54" s="43"/>
      <c r="X54" s="43"/>
      <c r="Y54" s="43"/>
      <c r="Z54" s="43"/>
      <c r="AA54" s="43"/>
      <c r="AB54" s="43"/>
      <c r="AC54" s="43"/>
      <c r="AD54" s="43"/>
      <c r="AE54" s="43"/>
      <c r="AF54" s="43"/>
      <c r="AG54" s="43"/>
      <c r="AH54" s="43"/>
      <c r="AI54" s="43"/>
    </row>
    <row r="55" spans="1:35">
      <c r="A55" s="236"/>
      <c r="B55" s="237"/>
      <c r="C55" s="238"/>
      <c r="D55" s="238"/>
      <c r="E55" s="238"/>
      <c r="F55" s="238"/>
      <c r="G55" s="238"/>
      <c r="H55" s="238"/>
      <c r="I55" s="238"/>
      <c r="J55" s="238"/>
      <c r="K55" s="238"/>
      <c r="L55" s="238"/>
      <c r="M55" s="238"/>
      <c r="N55" s="238"/>
      <c r="O55" s="238"/>
      <c r="P55" s="238"/>
      <c r="Q55" s="254"/>
      <c r="R55" s="43"/>
      <c r="S55" s="43"/>
      <c r="T55" s="43"/>
      <c r="U55" s="43"/>
      <c r="V55" s="43"/>
      <c r="W55" s="43"/>
      <c r="X55" s="43"/>
      <c r="Y55" s="43"/>
      <c r="Z55" s="43"/>
      <c r="AA55" s="43"/>
      <c r="AB55" s="43"/>
      <c r="AC55" s="43"/>
      <c r="AD55" s="43"/>
      <c r="AE55" s="43"/>
      <c r="AF55" s="43"/>
      <c r="AG55" s="43"/>
      <c r="AH55" s="43"/>
      <c r="AI55" s="43"/>
    </row>
    <row r="56" spans="1:35" ht="21">
      <c r="A56" s="239"/>
      <c r="B56" s="218"/>
      <c r="C56" s="218"/>
      <c r="D56" s="218"/>
      <c r="E56" s="218"/>
      <c r="F56" s="218"/>
      <c r="G56" s="218"/>
      <c r="H56" s="218"/>
      <c r="I56" s="218"/>
      <c r="J56" s="218"/>
      <c r="K56" s="218"/>
      <c r="L56" s="218"/>
      <c r="M56" s="218"/>
      <c r="N56" s="218"/>
      <c r="O56" s="218"/>
      <c r="P56" s="218"/>
      <c r="Q56" s="43"/>
      <c r="R56" s="43"/>
      <c r="S56" s="43"/>
      <c r="T56" s="43"/>
      <c r="U56" s="43"/>
      <c r="V56" s="43"/>
      <c r="W56" s="43"/>
      <c r="X56" s="43"/>
      <c r="Y56" s="43"/>
      <c r="Z56" s="43"/>
      <c r="AA56" s="43"/>
      <c r="AB56" s="43"/>
      <c r="AC56" s="43"/>
      <c r="AD56" s="43"/>
      <c r="AE56" s="43"/>
      <c r="AF56" s="43"/>
      <c r="AG56" s="43"/>
      <c r="AH56" s="43"/>
      <c r="AI56" s="43"/>
    </row>
    <row r="57" spans="1:35" ht="21">
      <c r="A57" s="240" t="s">
        <v>52</v>
      </c>
      <c r="B57" s="241"/>
      <c r="C57" s="241"/>
      <c r="D57" s="241"/>
      <c r="E57" s="241"/>
      <c r="F57" s="241"/>
      <c r="G57" s="241"/>
      <c r="H57" s="241"/>
      <c r="I57" s="241"/>
      <c r="J57" s="241"/>
      <c r="K57" s="241"/>
      <c r="L57" s="241"/>
      <c r="M57" s="241"/>
      <c r="N57" s="241"/>
      <c r="O57" s="241"/>
      <c r="P57" s="241"/>
      <c r="Q57" s="255"/>
      <c r="R57" s="43"/>
      <c r="S57" s="43"/>
      <c r="T57" s="43"/>
      <c r="U57" s="43"/>
      <c r="V57" s="43"/>
      <c r="W57" s="43"/>
      <c r="X57" s="43"/>
      <c r="Y57" s="43"/>
      <c r="Z57" s="43"/>
      <c r="AA57" s="43"/>
      <c r="AB57" s="43"/>
      <c r="AC57" s="43"/>
      <c r="AD57" s="43"/>
      <c r="AE57" s="43"/>
      <c r="AF57" s="43"/>
      <c r="AG57" s="43"/>
      <c r="AH57" s="43"/>
      <c r="AI57" s="43"/>
    </row>
    <row r="58" spans="1:35" ht="21">
      <c r="A58" s="242"/>
      <c r="B58" s="243"/>
      <c r="C58" s="243"/>
      <c r="D58" s="243"/>
      <c r="E58" s="243"/>
      <c r="F58" s="243"/>
      <c r="G58" s="243"/>
      <c r="H58" s="243"/>
      <c r="I58" s="243"/>
      <c r="J58" s="243"/>
      <c r="K58" s="243"/>
      <c r="L58" s="243"/>
      <c r="M58" s="243"/>
      <c r="N58" s="243"/>
      <c r="O58" s="243"/>
      <c r="P58" s="243"/>
      <c r="Q58" s="256"/>
      <c r="R58" s="43"/>
      <c r="S58" s="43"/>
      <c r="T58" s="43"/>
      <c r="U58" s="43"/>
      <c r="V58" s="43"/>
      <c r="W58" s="43"/>
      <c r="X58" s="43"/>
      <c r="Y58" s="43"/>
      <c r="Z58" s="43"/>
      <c r="AA58" s="43"/>
      <c r="AB58" s="43"/>
      <c r="AC58" s="43"/>
      <c r="AD58" s="43"/>
      <c r="AE58" s="43"/>
      <c r="AF58" s="43"/>
      <c r="AG58" s="43"/>
      <c r="AH58" s="43"/>
      <c r="AI58" s="43"/>
    </row>
    <row r="59" spans="1:35">
      <c r="A59" s="244" t="s">
        <v>53</v>
      </c>
      <c r="B59" s="243"/>
      <c r="C59" s="243"/>
      <c r="D59" s="243"/>
      <c r="E59" s="243"/>
      <c r="F59" s="243"/>
      <c r="G59" s="243"/>
      <c r="H59" s="243"/>
      <c r="I59" s="243"/>
      <c r="J59" s="243"/>
      <c r="K59" s="243"/>
      <c r="L59" s="243"/>
      <c r="M59" s="243"/>
      <c r="N59" s="243"/>
      <c r="O59" s="243"/>
      <c r="P59" s="243"/>
      <c r="Q59" s="256"/>
      <c r="R59" s="43"/>
      <c r="S59" s="43"/>
      <c r="T59" s="43"/>
      <c r="U59" s="43"/>
      <c r="V59" s="43"/>
      <c r="W59" s="43"/>
      <c r="X59" s="43"/>
      <c r="Y59" s="43"/>
      <c r="Z59" s="43"/>
      <c r="AA59" s="43"/>
      <c r="AB59" s="43"/>
      <c r="AC59" s="43"/>
      <c r="AD59" s="43"/>
      <c r="AE59" s="43"/>
      <c r="AF59" s="43"/>
      <c r="AG59" s="43"/>
      <c r="AH59" s="43"/>
      <c r="AI59" s="43"/>
    </row>
    <row r="60" spans="1:35">
      <c r="A60" s="244" t="s">
        <v>54</v>
      </c>
      <c r="B60" s="243"/>
      <c r="C60" s="243"/>
      <c r="D60" s="243"/>
      <c r="E60" s="243"/>
      <c r="F60" s="243"/>
      <c r="G60" s="243"/>
      <c r="H60" s="243"/>
      <c r="I60" s="243"/>
      <c r="J60" s="243"/>
      <c r="K60" s="243"/>
      <c r="L60" s="243"/>
      <c r="M60" s="243"/>
      <c r="N60" s="243"/>
      <c r="O60" s="243"/>
      <c r="P60" s="243"/>
      <c r="Q60" s="256"/>
      <c r="R60" s="43"/>
      <c r="S60" s="43"/>
      <c r="T60" s="43"/>
      <c r="U60" s="43"/>
      <c r="V60" s="43"/>
      <c r="W60" s="43"/>
      <c r="X60" s="43"/>
      <c r="Y60" s="43"/>
      <c r="Z60" s="43"/>
      <c r="AA60" s="43"/>
      <c r="AB60" s="43"/>
      <c r="AC60" s="43"/>
      <c r="AD60" s="43"/>
      <c r="AE60" s="43"/>
      <c r="AF60" s="43"/>
      <c r="AG60" s="43"/>
      <c r="AH60" s="43"/>
      <c r="AI60" s="43"/>
    </row>
    <row r="61" spans="1:35">
      <c r="A61" s="245" t="s">
        <v>55</v>
      </c>
      <c r="B61" s="243"/>
      <c r="C61" s="243"/>
      <c r="D61" s="243"/>
      <c r="E61" s="243"/>
      <c r="F61" s="243"/>
      <c r="G61" s="243"/>
      <c r="H61" s="243"/>
      <c r="I61" s="243"/>
      <c r="J61" s="243"/>
      <c r="K61" s="243"/>
      <c r="L61" s="243"/>
      <c r="M61" s="243"/>
      <c r="N61" s="243"/>
      <c r="O61" s="243"/>
      <c r="P61" s="243"/>
      <c r="Q61" s="256"/>
      <c r="R61" s="43"/>
      <c r="S61" s="43"/>
      <c r="T61" s="43"/>
      <c r="U61" s="43"/>
      <c r="V61" s="43"/>
      <c r="W61" s="43"/>
      <c r="X61" s="43"/>
      <c r="Y61" s="43"/>
      <c r="Z61" s="43"/>
      <c r="AA61" s="43"/>
      <c r="AB61" s="43"/>
      <c r="AC61" s="43"/>
      <c r="AD61" s="43"/>
      <c r="AE61" s="43"/>
      <c r="AF61" s="43"/>
      <c r="AG61" s="43"/>
      <c r="AH61" s="43"/>
      <c r="AI61" s="43"/>
    </row>
    <row r="62" spans="1:35">
      <c r="A62" s="245"/>
      <c r="B62" s="243"/>
      <c r="C62" s="243"/>
      <c r="D62" s="243"/>
      <c r="E62" s="243"/>
      <c r="F62" s="243"/>
      <c r="G62" s="243"/>
      <c r="H62" s="243"/>
      <c r="I62" s="243"/>
      <c r="J62" s="243"/>
      <c r="K62" s="243"/>
      <c r="L62" s="243"/>
      <c r="M62" s="243"/>
      <c r="N62" s="243"/>
      <c r="O62" s="243"/>
      <c r="P62" s="243"/>
      <c r="Q62" s="256"/>
      <c r="R62" s="43"/>
      <c r="S62" s="43"/>
      <c r="T62" s="43"/>
      <c r="U62" s="43"/>
      <c r="V62" s="43"/>
      <c r="W62" s="43"/>
      <c r="X62" s="43"/>
      <c r="Y62" s="43"/>
      <c r="Z62" s="43"/>
      <c r="AA62" s="43"/>
      <c r="AB62" s="43"/>
      <c r="AC62" s="43"/>
      <c r="AD62" s="43"/>
      <c r="AE62" s="43"/>
      <c r="AF62" s="43"/>
      <c r="AG62" s="43"/>
      <c r="AH62" s="43"/>
      <c r="AI62" s="43"/>
    </row>
    <row r="63" spans="1:35">
      <c r="A63" s="246" t="s">
        <v>56</v>
      </c>
      <c r="B63" s="243"/>
      <c r="C63" s="243"/>
      <c r="D63" s="243"/>
      <c r="E63" s="243"/>
      <c r="F63" s="243"/>
      <c r="G63" s="243"/>
      <c r="H63" s="243"/>
      <c r="I63" s="243"/>
      <c r="J63" s="243"/>
      <c r="K63" s="243"/>
      <c r="L63" s="243"/>
      <c r="M63" s="243"/>
      <c r="N63" s="243"/>
      <c r="O63" s="243"/>
      <c r="P63" s="243"/>
      <c r="Q63" s="256"/>
      <c r="R63" s="43"/>
      <c r="S63" s="43"/>
      <c r="T63" s="43"/>
      <c r="U63" s="43"/>
      <c r="V63" s="43"/>
      <c r="W63" s="43"/>
      <c r="X63" s="43"/>
      <c r="Y63" s="43"/>
      <c r="Z63" s="43"/>
      <c r="AA63" s="43"/>
      <c r="AB63" s="43"/>
      <c r="AC63" s="43"/>
      <c r="AD63" s="43"/>
      <c r="AE63" s="43"/>
      <c r="AF63" s="43"/>
      <c r="AG63" s="43"/>
      <c r="AH63" s="43"/>
      <c r="AI63" s="43"/>
    </row>
    <row r="64" spans="1:35">
      <c r="A64" s="245" t="s">
        <v>57</v>
      </c>
      <c r="B64" s="243"/>
      <c r="C64" s="247"/>
      <c r="D64" s="243"/>
      <c r="E64" s="243"/>
      <c r="F64" s="243"/>
      <c r="G64" s="243"/>
      <c r="H64" s="243"/>
      <c r="I64" s="243"/>
      <c r="J64" s="243"/>
      <c r="K64" s="243"/>
      <c r="L64" s="243"/>
      <c r="M64" s="243"/>
      <c r="N64" s="243"/>
      <c r="O64" s="243"/>
      <c r="P64" s="243"/>
      <c r="Q64" s="256"/>
      <c r="R64" s="43"/>
      <c r="S64" s="43"/>
      <c r="T64" s="43"/>
      <c r="U64" s="43"/>
      <c r="V64" s="43"/>
      <c r="W64" s="43"/>
      <c r="X64" s="43"/>
      <c r="Y64" s="43"/>
      <c r="Z64" s="43"/>
      <c r="AA64" s="43"/>
      <c r="AB64" s="43"/>
      <c r="AC64" s="43"/>
      <c r="AD64" s="43"/>
      <c r="AE64" s="43"/>
      <c r="AF64" s="43"/>
      <c r="AG64" s="43"/>
      <c r="AH64" s="43"/>
      <c r="AI64" s="43"/>
    </row>
    <row r="65" spans="1:35">
      <c r="A65" s="247" t="s">
        <v>58</v>
      </c>
      <c r="B65" s="257" t="s">
        <v>59</v>
      </c>
      <c r="C65" s="243"/>
      <c r="D65" s="243"/>
      <c r="E65" s="243"/>
      <c r="F65" s="243"/>
      <c r="G65" s="243"/>
      <c r="H65" s="243"/>
      <c r="I65" s="243"/>
      <c r="J65" s="243"/>
      <c r="K65" s="243"/>
      <c r="L65" s="243"/>
      <c r="M65" s="243"/>
      <c r="N65" s="243"/>
      <c r="O65" s="243"/>
      <c r="P65" s="243"/>
      <c r="Q65" s="256"/>
      <c r="R65" s="43"/>
      <c r="S65" s="43"/>
      <c r="T65" s="43"/>
      <c r="U65" s="43"/>
      <c r="V65" s="43"/>
      <c r="W65" s="43"/>
      <c r="X65" s="43"/>
      <c r="Y65" s="43"/>
      <c r="Z65" s="43"/>
      <c r="AA65" s="43"/>
      <c r="AB65" s="43"/>
      <c r="AC65" s="43"/>
      <c r="AD65" s="43"/>
      <c r="AE65" s="43"/>
      <c r="AF65" s="43"/>
      <c r="AG65" s="43"/>
      <c r="AH65" s="43"/>
      <c r="AI65" s="43"/>
    </row>
    <row r="66" spans="1:35">
      <c r="A66" s="245"/>
      <c r="B66" s="247"/>
      <c r="C66" s="247"/>
      <c r="D66" s="243"/>
      <c r="E66" s="243"/>
      <c r="F66" s="243"/>
      <c r="G66" s="243"/>
      <c r="H66" s="243"/>
      <c r="I66" s="243"/>
      <c r="J66" s="243"/>
      <c r="K66" s="243"/>
      <c r="L66" s="243"/>
      <c r="M66" s="243"/>
      <c r="N66" s="243"/>
      <c r="O66" s="243"/>
      <c r="P66" s="243"/>
      <c r="Q66" s="256"/>
      <c r="R66" s="43"/>
      <c r="S66" s="43"/>
      <c r="T66" s="43"/>
      <c r="U66" s="43"/>
      <c r="V66" s="43"/>
      <c r="W66" s="43"/>
      <c r="X66" s="43"/>
      <c r="Y66" s="43"/>
      <c r="Z66" s="43"/>
      <c r="AA66" s="43"/>
      <c r="AB66" s="43"/>
      <c r="AC66" s="43"/>
      <c r="AD66" s="43"/>
      <c r="AE66" s="43"/>
      <c r="AF66" s="43"/>
      <c r="AG66" s="43"/>
      <c r="AH66" s="43"/>
      <c r="AI66" s="43"/>
    </row>
    <row r="67" spans="1:35">
      <c r="A67" s="246" t="s">
        <v>60</v>
      </c>
      <c r="B67" s="243"/>
      <c r="C67" s="243"/>
      <c r="D67" s="243"/>
      <c r="E67" s="243"/>
      <c r="F67" s="243"/>
      <c r="G67" s="243"/>
      <c r="H67" s="243"/>
      <c r="I67" s="243"/>
      <c r="J67" s="243"/>
      <c r="K67" s="243"/>
      <c r="L67" s="243"/>
      <c r="M67" s="243"/>
      <c r="N67" s="243"/>
      <c r="O67" s="243"/>
      <c r="P67" s="243"/>
      <c r="Q67" s="256"/>
      <c r="R67" s="43"/>
      <c r="S67" s="43"/>
      <c r="T67" s="43"/>
      <c r="U67" s="43"/>
      <c r="V67" s="43"/>
      <c r="W67" s="43"/>
      <c r="X67" s="43"/>
      <c r="Y67" s="43"/>
      <c r="Z67" s="43"/>
      <c r="AA67" s="43"/>
      <c r="AB67" s="43"/>
      <c r="AC67" s="43"/>
      <c r="AD67" s="43"/>
      <c r="AE67" s="43"/>
      <c r="AF67" s="43"/>
      <c r="AG67" s="43"/>
      <c r="AH67" s="43"/>
      <c r="AI67" s="43"/>
    </row>
    <row r="68" spans="1:35">
      <c r="A68" s="245" t="s">
        <v>61</v>
      </c>
      <c r="B68" s="243"/>
      <c r="C68" s="243"/>
      <c r="D68" s="243"/>
      <c r="E68" s="243"/>
      <c r="F68" s="243"/>
      <c r="G68" s="243"/>
      <c r="H68" s="243"/>
      <c r="I68" s="243"/>
      <c r="J68" s="243"/>
      <c r="K68" s="243"/>
      <c r="L68" s="243"/>
      <c r="M68" s="243"/>
      <c r="N68" s="243"/>
      <c r="O68" s="243"/>
      <c r="P68" s="243"/>
      <c r="Q68" s="256"/>
      <c r="R68" s="43"/>
      <c r="S68" s="43"/>
      <c r="T68" s="43"/>
      <c r="U68" s="43"/>
      <c r="V68" s="43"/>
      <c r="W68" s="43"/>
      <c r="X68" s="43"/>
      <c r="Y68" s="43"/>
      <c r="Z68" s="43"/>
      <c r="AA68" s="43"/>
      <c r="AB68" s="43"/>
      <c r="AC68" s="43"/>
      <c r="AD68" s="43"/>
      <c r="AE68" s="43"/>
      <c r="AF68" s="43"/>
      <c r="AG68" s="43"/>
      <c r="AH68" s="43"/>
      <c r="AI68" s="43"/>
    </row>
    <row r="69" spans="1:35">
      <c r="A69" s="247"/>
      <c r="B69" s="243"/>
      <c r="C69" s="243"/>
      <c r="D69" s="243"/>
      <c r="E69" s="243"/>
      <c r="F69" s="243"/>
      <c r="G69" s="243"/>
      <c r="H69" s="243"/>
      <c r="I69" s="243"/>
      <c r="J69" s="243"/>
      <c r="K69" s="243"/>
      <c r="L69" s="243"/>
      <c r="M69" s="243"/>
      <c r="N69" s="243"/>
      <c r="O69" s="243"/>
      <c r="P69" s="243"/>
      <c r="Q69" s="256"/>
      <c r="R69" s="43"/>
      <c r="S69" s="43"/>
      <c r="T69" s="43"/>
      <c r="U69" s="43"/>
      <c r="V69" s="43"/>
      <c r="W69" s="43"/>
      <c r="X69" s="43"/>
      <c r="Y69" s="43"/>
      <c r="Z69" s="43"/>
      <c r="AA69" s="43"/>
      <c r="AB69" s="43"/>
      <c r="AC69" s="43"/>
      <c r="AD69" s="43"/>
      <c r="AE69" s="43"/>
      <c r="AF69" s="43"/>
      <c r="AG69" s="43"/>
      <c r="AH69" s="43"/>
      <c r="AI69" s="43"/>
    </row>
    <row r="70" spans="1:35">
      <c r="A70" s="258" t="s">
        <v>62</v>
      </c>
      <c r="B70" s="243"/>
      <c r="C70" s="243"/>
      <c r="D70" s="243"/>
      <c r="E70" s="243"/>
      <c r="F70" s="243"/>
      <c r="G70" s="243"/>
      <c r="H70" s="243"/>
      <c r="I70" s="243"/>
      <c r="J70" s="243"/>
      <c r="K70" s="243"/>
      <c r="L70" s="243"/>
      <c r="M70" s="243"/>
      <c r="N70" s="243"/>
      <c r="O70" s="243"/>
      <c r="P70" s="243"/>
      <c r="Q70" s="256"/>
      <c r="R70" s="43"/>
      <c r="S70" s="43"/>
      <c r="T70" s="43"/>
      <c r="U70" s="43"/>
      <c r="V70" s="43"/>
      <c r="W70" s="43"/>
      <c r="X70" s="43"/>
      <c r="Y70" s="43"/>
      <c r="Z70" s="43"/>
      <c r="AA70" s="43"/>
      <c r="AB70" s="43"/>
      <c r="AC70" s="43"/>
      <c r="AD70" s="43"/>
      <c r="AE70" s="43"/>
      <c r="AF70" s="43"/>
      <c r="AG70" s="43"/>
      <c r="AH70" s="43"/>
      <c r="AI70" s="43"/>
    </row>
    <row r="71" spans="1:35">
      <c r="A71" s="245" t="s">
        <v>63</v>
      </c>
      <c r="B71" s="243"/>
      <c r="C71" s="243"/>
      <c r="D71" s="243"/>
      <c r="E71" s="243"/>
      <c r="F71" s="243"/>
      <c r="G71" s="243"/>
      <c r="H71" s="243"/>
      <c r="I71" s="243"/>
      <c r="J71" s="243"/>
      <c r="K71" s="243"/>
      <c r="L71" s="243"/>
      <c r="M71" s="243"/>
      <c r="N71" s="243"/>
      <c r="O71" s="243"/>
      <c r="P71" s="243"/>
      <c r="Q71" s="256"/>
      <c r="R71" s="43"/>
      <c r="S71" s="43"/>
      <c r="T71" s="43"/>
      <c r="U71" s="43"/>
      <c r="V71" s="43"/>
      <c r="W71" s="43"/>
      <c r="X71" s="43"/>
      <c r="Y71" s="43"/>
      <c r="Z71" s="43"/>
      <c r="AA71" s="43"/>
      <c r="AB71" s="43"/>
      <c r="AC71" s="43"/>
      <c r="AD71" s="43"/>
      <c r="AE71" s="43"/>
      <c r="AF71" s="43"/>
      <c r="AG71" s="43"/>
      <c r="AH71" s="43"/>
      <c r="AI71" s="43"/>
    </row>
    <row r="72" spans="1:35">
      <c r="A72" s="245" t="s">
        <v>64</v>
      </c>
      <c r="B72" s="243"/>
      <c r="C72" s="243"/>
      <c r="D72" s="243"/>
      <c r="E72" s="243"/>
      <c r="F72" s="243"/>
      <c r="G72" s="243"/>
      <c r="H72" s="243"/>
      <c r="I72" s="243"/>
      <c r="J72" s="243"/>
      <c r="K72" s="243"/>
      <c r="L72" s="243"/>
      <c r="M72" s="243"/>
      <c r="N72" s="243"/>
      <c r="O72" s="243"/>
      <c r="P72" s="243"/>
      <c r="Q72" s="256"/>
      <c r="R72" s="43"/>
      <c r="S72" s="43"/>
      <c r="T72" s="43"/>
      <c r="U72" s="43"/>
      <c r="V72" s="43"/>
      <c r="W72" s="43"/>
      <c r="X72" s="43"/>
      <c r="Y72" s="43"/>
      <c r="Z72" s="43"/>
      <c r="AA72" s="43"/>
      <c r="AB72" s="43"/>
      <c r="AC72" s="43"/>
      <c r="AD72" s="43"/>
      <c r="AE72" s="43"/>
      <c r="AF72" s="43"/>
      <c r="AG72" s="43"/>
      <c r="AH72" s="43"/>
      <c r="AI72" s="43"/>
    </row>
    <row r="73" spans="1:35">
      <c r="A73" s="259" t="s">
        <v>65</v>
      </c>
      <c r="B73" s="260"/>
      <c r="C73" s="243"/>
      <c r="D73" s="243"/>
      <c r="E73" s="243"/>
      <c r="F73" s="243"/>
      <c r="G73" s="243"/>
      <c r="H73" s="243"/>
      <c r="I73" s="243"/>
      <c r="J73" s="243"/>
      <c r="K73" s="243"/>
      <c r="L73" s="243"/>
      <c r="M73" s="243"/>
      <c r="N73" s="243"/>
      <c r="O73" s="243"/>
      <c r="P73" s="243"/>
      <c r="Q73" s="256"/>
      <c r="R73" s="43"/>
      <c r="S73" s="43"/>
      <c r="T73" s="43"/>
      <c r="U73" s="43"/>
      <c r="V73" s="43"/>
      <c r="W73" s="43"/>
      <c r="X73" s="43"/>
      <c r="Y73" s="43"/>
      <c r="Z73" s="43"/>
      <c r="AA73" s="43"/>
      <c r="AB73" s="43"/>
      <c r="AC73" s="43"/>
      <c r="AD73" s="43"/>
      <c r="AE73" s="43"/>
      <c r="AF73" s="43"/>
      <c r="AG73" s="43"/>
      <c r="AH73" s="43"/>
      <c r="AI73" s="43"/>
    </row>
    <row r="74" spans="1:35">
      <c r="A74" s="261" t="s">
        <v>66</v>
      </c>
      <c r="B74" s="262"/>
      <c r="C74" s="262"/>
      <c r="D74" s="262"/>
      <c r="E74" s="262"/>
      <c r="F74" s="262"/>
      <c r="G74" s="262"/>
      <c r="H74" s="262"/>
      <c r="I74" s="262"/>
      <c r="J74" s="262"/>
      <c r="K74" s="262"/>
      <c r="L74" s="262"/>
      <c r="M74" s="280"/>
      <c r="N74" s="280"/>
      <c r="O74" s="280"/>
      <c r="P74" s="280"/>
      <c r="Q74" s="281"/>
      <c r="R74" s="43"/>
      <c r="S74" s="43"/>
      <c r="T74" s="43"/>
      <c r="U74" s="43"/>
      <c r="V74" s="43"/>
      <c r="W74" s="43"/>
      <c r="X74" s="43"/>
      <c r="Y74" s="43"/>
      <c r="Z74" s="43"/>
      <c r="AA74" s="43"/>
      <c r="AB74" s="43"/>
      <c r="AC74" s="43"/>
      <c r="AD74" s="43"/>
      <c r="AE74" s="43"/>
      <c r="AF74" s="43"/>
      <c r="AG74" s="43"/>
      <c r="AH74" s="43"/>
      <c r="AI74" s="43"/>
    </row>
    <row r="75" spans="1:35">
      <c r="B75" s="263"/>
      <c r="C75" s="263"/>
      <c r="D75" s="263"/>
      <c r="E75" s="263"/>
      <c r="F75" s="263"/>
      <c r="G75" s="263"/>
      <c r="H75" s="263"/>
      <c r="I75" s="263"/>
      <c r="J75" s="263"/>
      <c r="K75" s="263"/>
      <c r="L75" s="263"/>
      <c r="M75" s="263"/>
      <c r="N75" s="263"/>
      <c r="O75" s="263"/>
      <c r="P75" s="263"/>
      <c r="Q75" s="43"/>
      <c r="R75" s="43"/>
      <c r="S75" s="43"/>
      <c r="T75" s="43"/>
      <c r="U75" s="43"/>
      <c r="V75" s="43"/>
      <c r="W75" s="43"/>
      <c r="X75" s="43"/>
      <c r="Y75" s="43"/>
      <c r="Z75" s="43"/>
      <c r="AA75" s="43"/>
      <c r="AB75" s="43"/>
      <c r="AC75" s="43"/>
      <c r="AD75" s="43"/>
      <c r="AE75" s="43"/>
      <c r="AF75" s="43"/>
      <c r="AG75" s="43"/>
      <c r="AH75" s="43"/>
      <c r="AI75" s="43"/>
    </row>
    <row r="76" spans="1:35" ht="21">
      <c r="A76" s="264"/>
      <c r="B76" s="265"/>
      <c r="C76" s="265"/>
      <c r="D76" s="265"/>
      <c r="E76" s="265"/>
      <c r="F76" s="265"/>
      <c r="G76" s="265"/>
      <c r="H76" s="265"/>
      <c r="I76" s="265"/>
      <c r="J76" s="265"/>
      <c r="K76" s="265"/>
      <c r="L76" s="265"/>
      <c r="M76" s="265"/>
      <c r="N76" s="265"/>
      <c r="O76" s="265"/>
      <c r="P76" s="265"/>
      <c r="Q76" s="282"/>
      <c r="R76" s="43"/>
      <c r="S76" s="43"/>
      <c r="T76" s="43"/>
      <c r="U76" s="43"/>
      <c r="V76" s="43"/>
      <c r="W76" s="43"/>
      <c r="X76" s="43"/>
      <c r="Y76" s="43"/>
      <c r="Z76" s="43"/>
      <c r="AA76" s="43"/>
      <c r="AB76" s="43"/>
      <c r="AC76" s="43"/>
      <c r="AD76" s="43"/>
      <c r="AE76" s="43"/>
      <c r="AF76" s="43"/>
      <c r="AG76" s="43"/>
      <c r="AH76" s="43"/>
      <c r="AI76" s="43"/>
    </row>
    <row r="77" spans="1:35" ht="21">
      <c r="A77" s="266" t="s">
        <v>67</v>
      </c>
      <c r="B77" s="267"/>
      <c r="C77" s="267"/>
      <c r="D77" s="267"/>
      <c r="E77" s="267"/>
      <c r="F77" s="267"/>
      <c r="G77" s="267"/>
      <c r="H77" s="267"/>
      <c r="I77" s="267"/>
      <c r="J77" s="267"/>
      <c r="K77" s="267"/>
      <c r="L77" s="267"/>
      <c r="M77" s="267"/>
      <c r="N77" s="267"/>
      <c r="O77" s="267"/>
      <c r="P77" s="267"/>
      <c r="Q77" s="283"/>
      <c r="R77" s="43"/>
      <c r="S77" s="43"/>
      <c r="T77" s="43"/>
      <c r="U77" s="43"/>
      <c r="V77" s="43"/>
      <c r="W77" s="43"/>
      <c r="X77" s="43"/>
      <c r="Y77" s="43"/>
      <c r="Z77" s="43"/>
      <c r="AA77" s="43"/>
      <c r="AB77" s="43"/>
      <c r="AC77" s="43"/>
      <c r="AD77" s="43"/>
      <c r="AE77" s="43"/>
      <c r="AF77" s="43"/>
      <c r="AG77" s="43"/>
      <c r="AH77" s="43"/>
      <c r="AI77" s="43"/>
    </row>
    <row r="78" spans="1:35">
      <c r="A78" s="268"/>
      <c r="B78" s="267"/>
      <c r="C78" s="267"/>
      <c r="D78" s="267"/>
      <c r="E78" s="267"/>
      <c r="F78" s="267"/>
      <c r="G78" s="267"/>
      <c r="H78" s="267"/>
      <c r="I78" s="267"/>
      <c r="J78" s="267"/>
      <c r="K78" s="267"/>
      <c r="L78" s="267"/>
      <c r="M78" s="267"/>
      <c r="N78" s="267"/>
      <c r="O78" s="267"/>
      <c r="P78" s="267"/>
      <c r="Q78" s="283"/>
      <c r="R78" s="43"/>
      <c r="S78" s="43"/>
      <c r="T78" s="43"/>
      <c r="U78" s="43"/>
      <c r="V78" s="43"/>
      <c r="W78" s="43"/>
      <c r="X78" s="43"/>
      <c r="Y78" s="43"/>
      <c r="Z78" s="43"/>
      <c r="AA78" s="43"/>
      <c r="AB78" s="43"/>
      <c r="AC78" s="43"/>
      <c r="AD78" s="43"/>
      <c r="AE78" s="43"/>
      <c r="AF78" s="43"/>
      <c r="AG78" s="43"/>
      <c r="AH78" s="43"/>
      <c r="AI78" s="43"/>
    </row>
    <row r="79" spans="1:35">
      <c r="A79" s="269" t="s">
        <v>68</v>
      </c>
      <c r="B79" s="267"/>
      <c r="C79" s="267"/>
      <c r="D79" s="267"/>
      <c r="E79" s="267"/>
      <c r="F79" s="267"/>
      <c r="G79" s="267"/>
      <c r="H79" s="267"/>
      <c r="I79" s="267"/>
      <c r="J79" s="267"/>
      <c r="K79" s="267"/>
      <c r="L79" s="267"/>
      <c r="M79" s="267"/>
      <c r="N79" s="267"/>
      <c r="O79" s="267"/>
      <c r="P79" s="267"/>
      <c r="Q79" s="283"/>
      <c r="R79" s="43"/>
      <c r="S79" s="43"/>
      <c r="T79" s="43"/>
      <c r="U79" s="43"/>
      <c r="V79" s="43"/>
      <c r="W79" s="43"/>
      <c r="X79" s="43"/>
      <c r="Y79" s="43"/>
      <c r="Z79" s="43"/>
      <c r="AA79" s="43"/>
      <c r="AB79" s="43"/>
      <c r="AC79" s="43"/>
      <c r="AD79" s="43"/>
      <c r="AE79" s="43"/>
      <c r="AF79" s="43"/>
      <c r="AG79" s="43"/>
      <c r="AH79" s="43"/>
      <c r="AI79" s="43"/>
    </row>
    <row r="80" spans="1:35">
      <c r="A80" s="269" t="s">
        <v>69</v>
      </c>
      <c r="B80" s="267"/>
      <c r="C80" s="267"/>
      <c r="D80" s="267"/>
      <c r="E80" s="267"/>
      <c r="F80" s="267"/>
      <c r="G80" s="267"/>
      <c r="H80" s="267"/>
      <c r="I80" s="267"/>
      <c r="J80" s="267"/>
      <c r="K80" s="267"/>
      <c r="L80" s="267"/>
      <c r="M80" s="267"/>
      <c r="N80" s="267"/>
      <c r="O80" s="267"/>
      <c r="P80" s="267"/>
      <c r="Q80" s="283"/>
      <c r="R80" s="43"/>
      <c r="S80" s="43"/>
      <c r="T80" s="43"/>
      <c r="U80" s="43"/>
      <c r="V80" s="43"/>
      <c r="W80" s="43"/>
      <c r="X80" s="43"/>
      <c r="Y80" s="43"/>
      <c r="Z80" s="43"/>
      <c r="AA80" s="43"/>
      <c r="AB80" s="43"/>
      <c r="AC80" s="43"/>
      <c r="AD80" s="43"/>
      <c r="AE80" s="43"/>
      <c r="AF80" s="43"/>
      <c r="AG80" s="43"/>
      <c r="AH80" s="43"/>
      <c r="AI80" s="43"/>
    </row>
    <row r="81" spans="1:35" s="56" customFormat="1">
      <c r="A81" s="269" t="s">
        <v>70</v>
      </c>
      <c r="B81" s="267"/>
      <c r="C81" s="267"/>
      <c r="D81" s="267"/>
      <c r="E81" s="267"/>
      <c r="F81" s="267"/>
      <c r="G81" s="267"/>
      <c r="H81" s="267"/>
      <c r="I81" s="267"/>
      <c r="J81" s="267"/>
      <c r="K81" s="267"/>
      <c r="L81" s="267"/>
      <c r="M81" s="267"/>
      <c r="N81" s="267"/>
      <c r="O81" s="267"/>
      <c r="P81" s="267"/>
      <c r="Q81" s="284"/>
      <c r="R81" s="218"/>
      <c r="S81" s="218"/>
      <c r="T81" s="218"/>
      <c r="U81" s="218"/>
      <c r="V81" s="218"/>
      <c r="W81" s="218"/>
      <c r="X81" s="218"/>
      <c r="Y81" s="218"/>
      <c r="Z81" s="218"/>
      <c r="AA81" s="218"/>
      <c r="AB81" s="218"/>
      <c r="AC81" s="218"/>
      <c r="AD81" s="218"/>
      <c r="AE81" s="218"/>
      <c r="AF81" s="218"/>
      <c r="AG81" s="218"/>
      <c r="AH81" s="218"/>
      <c r="AI81" s="218"/>
    </row>
    <row r="82" spans="1:35">
      <c r="A82" s="269" t="s">
        <v>71</v>
      </c>
      <c r="B82" s="267"/>
      <c r="C82" s="267"/>
      <c r="D82" s="267"/>
      <c r="E82" s="267"/>
      <c r="F82" s="267"/>
      <c r="G82" s="267"/>
      <c r="H82" s="267"/>
      <c r="I82" s="267"/>
      <c r="J82" s="267"/>
      <c r="K82" s="267"/>
      <c r="L82" s="267"/>
      <c r="M82" s="267"/>
      <c r="N82" s="267"/>
      <c r="O82" s="267"/>
      <c r="P82" s="267"/>
      <c r="Q82" s="283"/>
      <c r="R82" s="43"/>
      <c r="S82" s="43"/>
      <c r="T82" s="43"/>
      <c r="U82" s="43"/>
      <c r="V82" s="43"/>
      <c r="W82" s="43"/>
      <c r="X82" s="43"/>
      <c r="Y82" s="43"/>
      <c r="Z82" s="43"/>
      <c r="AA82" s="43"/>
      <c r="AB82" s="43"/>
      <c r="AC82" s="43"/>
      <c r="AD82" s="43"/>
      <c r="AE82" s="43"/>
      <c r="AF82" s="43"/>
      <c r="AG82" s="43"/>
      <c r="AH82" s="43"/>
      <c r="AI82" s="43"/>
    </row>
    <row r="83" spans="1:35">
      <c r="A83" s="269" t="s">
        <v>72</v>
      </c>
      <c r="B83" s="267"/>
      <c r="C83" s="267"/>
      <c r="D83" s="267"/>
      <c r="E83" s="267"/>
      <c r="F83" s="267"/>
      <c r="G83" s="267"/>
      <c r="H83" s="267"/>
      <c r="I83" s="267"/>
      <c r="J83" s="267"/>
      <c r="K83" s="267"/>
      <c r="L83" s="267"/>
      <c r="M83" s="267"/>
      <c r="N83" s="267"/>
      <c r="O83" s="267"/>
      <c r="P83" s="267"/>
      <c r="Q83" s="283"/>
      <c r="R83" s="43"/>
      <c r="S83" s="43"/>
      <c r="T83" s="43"/>
      <c r="U83" s="43"/>
      <c r="V83" s="43"/>
      <c r="W83" s="43"/>
      <c r="X83" s="43"/>
      <c r="Y83" s="43"/>
      <c r="Z83" s="43"/>
      <c r="AA83" s="43"/>
      <c r="AB83" s="43"/>
      <c r="AC83" s="43"/>
      <c r="AD83" s="43"/>
      <c r="AE83" s="43"/>
      <c r="AF83" s="43"/>
      <c r="AG83" s="43"/>
      <c r="AH83" s="43"/>
      <c r="AI83" s="43"/>
    </row>
    <row r="84" spans="1:35">
      <c r="A84" s="268"/>
      <c r="B84" s="267"/>
      <c r="C84" s="267"/>
      <c r="D84" s="267"/>
      <c r="E84" s="267"/>
      <c r="F84" s="267"/>
      <c r="G84" s="267"/>
      <c r="H84" s="267"/>
      <c r="I84" s="267"/>
      <c r="J84" s="267"/>
      <c r="K84" s="267"/>
      <c r="L84" s="267"/>
      <c r="M84" s="267"/>
      <c r="N84" s="267"/>
      <c r="O84" s="267"/>
      <c r="P84" s="267"/>
      <c r="Q84" s="283"/>
      <c r="R84" s="43"/>
      <c r="S84" s="43"/>
      <c r="T84" s="43"/>
      <c r="U84" s="43"/>
      <c r="V84" s="43"/>
      <c r="W84" s="43"/>
      <c r="X84" s="43"/>
      <c r="Y84" s="43"/>
      <c r="Z84" s="43"/>
      <c r="AA84" s="43"/>
      <c r="AB84" s="43"/>
      <c r="AC84" s="43"/>
      <c r="AD84" s="43"/>
      <c r="AE84" s="43"/>
      <c r="AF84" s="43"/>
      <c r="AG84" s="43"/>
      <c r="AH84" s="43"/>
      <c r="AI84" s="43"/>
    </row>
    <row r="85" spans="1:35">
      <c r="A85" s="268" t="s">
        <v>73</v>
      </c>
      <c r="B85" s="267"/>
      <c r="C85" s="267"/>
      <c r="D85" s="267"/>
      <c r="E85" s="267"/>
      <c r="F85" s="267"/>
      <c r="G85" s="267"/>
      <c r="H85" s="267"/>
      <c r="I85" s="267"/>
      <c r="J85" s="267"/>
      <c r="K85" s="267"/>
      <c r="L85" s="267"/>
      <c r="M85" s="267"/>
      <c r="N85" s="267"/>
      <c r="O85" s="267"/>
      <c r="P85" s="267"/>
      <c r="Q85" s="283"/>
      <c r="R85" s="43"/>
      <c r="S85" s="43"/>
      <c r="T85" s="43"/>
      <c r="U85" s="43"/>
      <c r="V85" s="43"/>
      <c r="W85" s="43"/>
      <c r="X85" s="43"/>
      <c r="Y85" s="43"/>
      <c r="Z85" s="43"/>
      <c r="AA85" s="43"/>
      <c r="AB85" s="43"/>
      <c r="AC85" s="43"/>
      <c r="AD85" s="43"/>
      <c r="AE85" s="43"/>
      <c r="AF85" s="43"/>
      <c r="AG85" s="43"/>
      <c r="AH85" s="43"/>
      <c r="AI85" s="43"/>
    </row>
    <row r="86" spans="1:35" ht="15.75">
      <c r="A86" s="270" t="s">
        <v>74</v>
      </c>
      <c r="B86" s="271"/>
      <c r="C86" s="271"/>
      <c r="D86" s="271"/>
      <c r="E86" s="271"/>
      <c r="F86" s="271"/>
      <c r="G86" s="271"/>
      <c r="H86" s="271"/>
      <c r="I86" s="271"/>
      <c r="J86" s="271"/>
      <c r="K86" s="271"/>
      <c r="L86" s="271"/>
      <c r="M86" s="271"/>
      <c r="N86" s="271"/>
      <c r="O86" s="271"/>
      <c r="P86" s="271"/>
      <c r="Q86" s="285"/>
      <c r="R86" s="43"/>
      <c r="S86" s="43"/>
      <c r="T86" s="43"/>
      <c r="U86" s="43"/>
      <c r="V86" s="43"/>
      <c r="W86" s="43"/>
      <c r="X86" s="43"/>
      <c r="Y86" s="43"/>
      <c r="Z86" s="43"/>
      <c r="AA86" s="43"/>
      <c r="AB86" s="43"/>
      <c r="AC86" s="43"/>
      <c r="AD86" s="43"/>
      <c r="AE86" s="43"/>
      <c r="AF86" s="43"/>
      <c r="AG86" s="43"/>
      <c r="AH86" s="43"/>
      <c r="AI86" s="43"/>
    </row>
    <row r="87" spans="1:35">
      <c r="A87" s="68"/>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row>
    <row r="88" spans="1:35" ht="21">
      <c r="A88" s="272" t="s">
        <v>75</v>
      </c>
      <c r="B88" s="273"/>
      <c r="C88" s="273"/>
      <c r="D88" s="273"/>
      <c r="E88" s="273"/>
      <c r="F88" s="273"/>
      <c r="G88" s="273"/>
      <c r="H88" s="273"/>
      <c r="I88" s="273"/>
      <c r="J88" s="273"/>
      <c r="K88" s="273"/>
      <c r="L88" s="273"/>
      <c r="M88" s="273"/>
      <c r="N88" s="273"/>
      <c r="O88" s="273"/>
      <c r="P88" s="273"/>
      <c r="Q88" s="286"/>
      <c r="R88" s="43"/>
      <c r="S88" s="43"/>
      <c r="T88" s="43"/>
      <c r="U88" s="43"/>
      <c r="V88" s="43"/>
      <c r="W88" s="43"/>
      <c r="X88" s="43"/>
      <c r="Y88" s="43"/>
      <c r="Z88" s="43"/>
      <c r="AA88" s="43"/>
      <c r="AB88" s="43"/>
      <c r="AC88" s="43"/>
      <c r="AD88" s="43"/>
      <c r="AE88" s="43"/>
      <c r="AF88" s="43"/>
      <c r="AG88" s="43"/>
      <c r="AH88" s="43"/>
      <c r="AI88" s="43"/>
    </row>
    <row r="89" spans="1:35">
      <c r="A89" s="274"/>
      <c r="B89" s="275"/>
      <c r="C89" s="275"/>
      <c r="D89" s="275"/>
      <c r="E89" s="275"/>
      <c r="F89" s="275"/>
      <c r="G89" s="275"/>
      <c r="H89" s="275"/>
      <c r="I89" s="275"/>
      <c r="J89" s="275"/>
      <c r="K89" s="275"/>
      <c r="L89" s="275"/>
      <c r="M89" s="275"/>
      <c r="N89" s="275"/>
      <c r="O89" s="275"/>
      <c r="P89" s="275"/>
      <c r="Q89" s="287"/>
      <c r="R89" s="43"/>
      <c r="S89" s="43"/>
      <c r="T89" s="43"/>
      <c r="U89" s="43"/>
      <c r="V89" s="43"/>
      <c r="W89" s="43"/>
      <c r="X89" s="43"/>
      <c r="Y89" s="43"/>
      <c r="Z89" s="43"/>
      <c r="AA89" s="43"/>
      <c r="AB89" s="43"/>
      <c r="AC89" s="43"/>
      <c r="AD89" s="43"/>
      <c r="AE89" s="43"/>
      <c r="AF89" s="43"/>
      <c r="AG89" s="43"/>
      <c r="AH89" s="43"/>
      <c r="AI89" s="43"/>
    </row>
    <row r="90" spans="1:35">
      <c r="A90" s="274" t="s">
        <v>76</v>
      </c>
      <c r="B90" s="275"/>
      <c r="C90" s="275"/>
      <c r="D90" s="275"/>
      <c r="E90" s="275"/>
      <c r="F90" s="275"/>
      <c r="G90" s="275"/>
      <c r="H90" s="275"/>
      <c r="I90" s="275"/>
      <c r="J90" s="275"/>
      <c r="K90" s="275"/>
      <c r="L90" s="275"/>
      <c r="M90" s="275"/>
      <c r="N90" s="275"/>
      <c r="O90" s="275"/>
      <c r="P90" s="275"/>
      <c r="Q90" s="287"/>
      <c r="R90" s="43"/>
      <c r="S90" s="43"/>
      <c r="T90" s="43"/>
      <c r="U90" s="43"/>
      <c r="V90" s="43"/>
      <c r="W90" s="43"/>
      <c r="X90" s="43"/>
      <c r="Y90" s="43"/>
      <c r="Z90" s="43"/>
      <c r="AA90" s="43"/>
      <c r="AB90" s="43"/>
      <c r="AC90" s="43"/>
      <c r="AD90" s="43"/>
      <c r="AE90" s="43"/>
      <c r="AF90" s="43"/>
      <c r="AG90" s="43"/>
      <c r="AH90" s="43"/>
      <c r="AI90" s="43"/>
    </row>
    <row r="91" spans="1:35">
      <c r="A91" s="276" t="s">
        <v>77</v>
      </c>
      <c r="B91" s="275"/>
      <c r="C91" s="275"/>
      <c r="D91" s="275"/>
      <c r="E91" s="275"/>
      <c r="F91" s="275"/>
      <c r="G91" s="275"/>
      <c r="H91" s="275"/>
      <c r="I91" s="275"/>
      <c r="J91" s="275"/>
      <c r="K91" s="275"/>
      <c r="L91" s="275"/>
      <c r="M91" s="275"/>
      <c r="N91" s="275"/>
      <c r="O91" s="275"/>
      <c r="P91" s="275"/>
      <c r="Q91" s="287"/>
      <c r="R91" s="43"/>
      <c r="S91" s="43"/>
      <c r="T91" s="43"/>
      <c r="U91" s="43"/>
      <c r="V91" s="43"/>
      <c r="W91" s="43"/>
      <c r="X91" s="43"/>
      <c r="Y91" s="43"/>
      <c r="Z91" s="43"/>
      <c r="AA91" s="43"/>
      <c r="AB91" s="43"/>
      <c r="AC91" s="43"/>
      <c r="AD91" s="43"/>
      <c r="AE91" s="43"/>
      <c r="AF91" s="43"/>
      <c r="AG91" s="43"/>
      <c r="AH91" s="43"/>
      <c r="AI91" s="43"/>
    </row>
    <row r="92" spans="1:35">
      <c r="A92" s="276" t="s">
        <v>78</v>
      </c>
      <c r="B92" s="275"/>
      <c r="C92" s="275"/>
      <c r="D92" s="275"/>
      <c r="E92" s="275"/>
      <c r="F92" s="275"/>
      <c r="G92" s="275"/>
      <c r="H92" s="275"/>
      <c r="I92" s="275"/>
      <c r="J92" s="275"/>
      <c r="K92" s="275"/>
      <c r="L92" s="275"/>
      <c r="M92" s="275"/>
      <c r="N92" s="275"/>
      <c r="O92" s="275"/>
      <c r="P92" s="275"/>
      <c r="Q92" s="287"/>
      <c r="R92" s="43"/>
      <c r="S92" s="43"/>
      <c r="T92" s="43"/>
      <c r="U92" s="43"/>
      <c r="V92" s="43"/>
      <c r="W92" s="43"/>
      <c r="X92" s="43"/>
      <c r="Y92" s="43"/>
      <c r="Z92" s="43"/>
      <c r="AA92" s="43"/>
      <c r="AB92" s="43"/>
      <c r="AC92" s="43"/>
      <c r="AD92" s="43"/>
      <c r="AE92" s="43"/>
      <c r="AF92" s="43"/>
      <c r="AG92" s="43"/>
      <c r="AH92" s="43"/>
      <c r="AI92" s="43"/>
    </row>
    <row r="93" spans="1:35">
      <c r="A93" s="276" t="s">
        <v>79</v>
      </c>
      <c r="B93" s="275"/>
      <c r="C93" s="275"/>
      <c r="D93" s="275"/>
      <c r="E93" s="275"/>
      <c r="F93" s="275"/>
      <c r="G93" s="275"/>
      <c r="H93" s="275"/>
      <c r="I93" s="275"/>
      <c r="J93" s="275"/>
      <c r="K93" s="275"/>
      <c r="L93" s="275"/>
      <c r="M93" s="275"/>
      <c r="N93" s="275"/>
      <c r="O93" s="275"/>
      <c r="P93" s="275"/>
      <c r="Q93" s="287"/>
      <c r="R93" s="43"/>
      <c r="S93" s="43"/>
      <c r="T93" s="43"/>
      <c r="U93" s="43"/>
      <c r="V93" s="43"/>
      <c r="W93" s="43"/>
      <c r="X93" s="43"/>
      <c r="Y93" s="43"/>
      <c r="Z93" s="43"/>
      <c r="AA93" s="43"/>
      <c r="AB93" s="43"/>
      <c r="AC93" s="43"/>
      <c r="AD93" s="43"/>
      <c r="AE93" s="43"/>
      <c r="AF93" s="43"/>
      <c r="AG93" s="43"/>
      <c r="AH93" s="43"/>
      <c r="AI93" s="43"/>
    </row>
    <row r="94" spans="1:35">
      <c r="A94" s="277"/>
      <c r="B94" s="275"/>
      <c r="C94" s="275"/>
      <c r="D94" s="275"/>
      <c r="E94" s="275"/>
      <c r="F94" s="275"/>
      <c r="G94" s="275"/>
      <c r="H94" s="275"/>
      <c r="I94" s="275"/>
      <c r="J94" s="275"/>
      <c r="K94" s="275"/>
      <c r="L94" s="275"/>
      <c r="M94" s="275"/>
      <c r="N94" s="275"/>
      <c r="O94" s="275"/>
      <c r="P94" s="275"/>
      <c r="Q94" s="287"/>
      <c r="R94" s="43"/>
      <c r="S94" s="43"/>
      <c r="T94" s="43"/>
      <c r="U94" s="43"/>
      <c r="V94" s="43"/>
      <c r="W94" s="43"/>
      <c r="X94" s="43"/>
      <c r="Y94" s="43"/>
      <c r="Z94" s="43"/>
      <c r="AA94" s="43"/>
      <c r="AB94" s="43"/>
      <c r="AC94" s="43"/>
      <c r="AD94" s="43"/>
      <c r="AE94" s="43"/>
      <c r="AF94" s="43"/>
      <c r="AG94" s="43"/>
      <c r="AH94" s="43"/>
      <c r="AI94" s="43"/>
    </row>
    <row r="95" spans="1:35">
      <c r="A95" s="274" t="s">
        <v>80</v>
      </c>
      <c r="B95" s="275"/>
      <c r="C95" s="275"/>
      <c r="D95" s="275"/>
      <c r="E95" s="275"/>
      <c r="F95" s="275"/>
      <c r="G95" s="275"/>
      <c r="H95" s="275"/>
      <c r="I95" s="275"/>
      <c r="J95" s="275"/>
      <c r="K95" s="275"/>
      <c r="L95" s="275"/>
      <c r="M95" s="275"/>
      <c r="N95" s="275"/>
      <c r="O95" s="275"/>
      <c r="P95" s="275"/>
      <c r="Q95" s="287"/>
      <c r="R95" s="43"/>
      <c r="S95" s="43"/>
      <c r="T95" s="43"/>
      <c r="U95" s="43"/>
      <c r="V95" s="43"/>
      <c r="W95" s="43"/>
      <c r="X95" s="43"/>
      <c r="Y95" s="43"/>
      <c r="Z95" s="43"/>
      <c r="AA95" s="43"/>
      <c r="AB95" s="43"/>
      <c r="AC95" s="43"/>
      <c r="AD95" s="43"/>
      <c r="AE95" s="43"/>
      <c r="AF95" s="43"/>
      <c r="AG95" s="43"/>
      <c r="AH95" s="43"/>
      <c r="AI95" s="43"/>
    </row>
    <row r="96" spans="1:35">
      <c r="A96" s="277" t="s">
        <v>81</v>
      </c>
      <c r="B96" s="275"/>
      <c r="C96" s="275"/>
      <c r="D96" s="275"/>
      <c r="E96" s="275"/>
      <c r="F96" s="275"/>
      <c r="G96" s="275"/>
      <c r="H96" s="275"/>
      <c r="I96" s="275"/>
      <c r="J96" s="275"/>
      <c r="K96" s="275"/>
      <c r="L96" s="275"/>
      <c r="M96" s="275"/>
      <c r="N96" s="275"/>
      <c r="O96" s="275"/>
      <c r="P96" s="275"/>
      <c r="Q96" s="287"/>
      <c r="R96" s="43"/>
      <c r="S96" s="43"/>
      <c r="T96" s="43"/>
      <c r="U96" s="43"/>
      <c r="V96" s="43"/>
      <c r="W96" s="43"/>
      <c r="X96" s="43"/>
      <c r="Y96" s="43"/>
      <c r="Z96" s="43"/>
      <c r="AA96" s="43"/>
      <c r="AB96" s="43"/>
      <c r="AC96" s="43"/>
      <c r="AD96" s="43"/>
      <c r="AE96" s="43"/>
      <c r="AF96" s="43"/>
      <c r="AG96" s="43"/>
      <c r="AH96" s="43"/>
      <c r="AI96" s="43"/>
    </row>
    <row r="97" spans="1:35">
      <c r="A97" s="277" t="s">
        <v>82</v>
      </c>
      <c r="B97" s="275"/>
      <c r="C97" s="275"/>
      <c r="D97" s="275"/>
      <c r="E97" s="275"/>
      <c r="F97" s="275"/>
      <c r="G97" s="275"/>
      <c r="H97" s="275"/>
      <c r="I97" s="275"/>
      <c r="J97" s="275"/>
      <c r="K97" s="275"/>
      <c r="L97" s="275"/>
      <c r="M97" s="275"/>
      <c r="N97" s="275"/>
      <c r="O97" s="275"/>
      <c r="P97" s="275"/>
      <c r="Q97" s="287"/>
      <c r="R97" s="43"/>
      <c r="S97" s="43"/>
      <c r="T97" s="43"/>
      <c r="U97" s="43"/>
      <c r="V97" s="43"/>
      <c r="W97" s="43"/>
      <c r="X97" s="43"/>
      <c r="Y97" s="43"/>
      <c r="Z97" s="43"/>
      <c r="AA97" s="43"/>
      <c r="AB97" s="43"/>
      <c r="AC97" s="43"/>
      <c r="AD97" s="43"/>
      <c r="AE97" s="43"/>
      <c r="AF97" s="43"/>
      <c r="AG97" s="43"/>
      <c r="AH97" s="43"/>
      <c r="AI97" s="43"/>
    </row>
    <row r="98" spans="1:35">
      <c r="A98" s="278" t="s">
        <v>83</v>
      </c>
      <c r="B98" s="275"/>
      <c r="C98" s="275"/>
      <c r="D98" s="275"/>
      <c r="E98" s="275"/>
      <c r="F98" s="275"/>
      <c r="G98" s="275"/>
      <c r="H98" s="275"/>
      <c r="I98" s="275"/>
      <c r="J98" s="275"/>
      <c r="K98" s="275"/>
      <c r="L98" s="275"/>
      <c r="M98" s="275"/>
      <c r="N98" s="275"/>
      <c r="O98" s="275"/>
      <c r="P98" s="275"/>
      <c r="Q98" s="287"/>
      <c r="R98" s="43"/>
      <c r="S98" s="43"/>
      <c r="T98" s="43"/>
      <c r="U98" s="43"/>
      <c r="V98" s="43"/>
      <c r="W98" s="43"/>
      <c r="X98" s="43"/>
      <c r="Y98" s="43"/>
      <c r="Z98" s="43"/>
      <c r="AA98" s="43"/>
      <c r="AB98" s="43"/>
      <c r="AC98" s="43"/>
      <c r="AD98" s="43"/>
      <c r="AE98" s="43"/>
      <c r="AF98" s="43"/>
      <c r="AG98" s="43"/>
      <c r="AH98" s="43"/>
      <c r="AI98" s="43"/>
    </row>
    <row r="99" spans="1:35">
      <c r="A99" s="278" t="s">
        <v>84</v>
      </c>
      <c r="B99" s="275"/>
      <c r="C99" s="275"/>
      <c r="D99" s="275"/>
      <c r="E99" s="275"/>
      <c r="F99" s="275"/>
      <c r="G99" s="275"/>
      <c r="H99" s="275"/>
      <c r="I99" s="275"/>
      <c r="J99" s="275"/>
      <c r="K99" s="275"/>
      <c r="L99" s="275"/>
      <c r="M99" s="275"/>
      <c r="N99" s="275"/>
      <c r="O99" s="275"/>
      <c r="P99" s="275"/>
      <c r="Q99" s="287"/>
      <c r="R99" s="43"/>
      <c r="S99" s="43"/>
      <c r="T99" s="43"/>
      <c r="U99" s="43"/>
      <c r="V99" s="43"/>
      <c r="W99" s="43"/>
      <c r="X99" s="43"/>
      <c r="Y99" s="43"/>
      <c r="Z99" s="43"/>
      <c r="AA99" s="43"/>
      <c r="AB99" s="43"/>
      <c r="AC99" s="43"/>
      <c r="AD99" s="43"/>
      <c r="AE99" s="43"/>
      <c r="AF99" s="43"/>
      <c r="AG99" s="43"/>
      <c r="AH99" s="43"/>
      <c r="AI99" s="43"/>
    </row>
    <row r="100" spans="1:35">
      <c r="A100" s="277"/>
      <c r="B100" s="275"/>
      <c r="C100" s="275"/>
      <c r="D100" s="275"/>
      <c r="E100" s="275"/>
      <c r="F100" s="275"/>
      <c r="G100" s="275"/>
      <c r="H100" s="275"/>
      <c r="I100" s="275"/>
      <c r="J100" s="275"/>
      <c r="K100" s="275"/>
      <c r="L100" s="275"/>
      <c r="M100" s="275"/>
      <c r="N100" s="275"/>
      <c r="O100" s="275"/>
      <c r="P100" s="275"/>
      <c r="Q100" s="287"/>
      <c r="R100" s="43"/>
      <c r="S100" s="43"/>
      <c r="T100" s="43"/>
      <c r="U100" s="43"/>
      <c r="V100" s="43"/>
      <c r="W100" s="43"/>
      <c r="X100" s="43"/>
      <c r="Y100" s="43"/>
      <c r="Z100" s="43"/>
      <c r="AA100" s="43"/>
      <c r="AB100" s="43"/>
      <c r="AC100" s="43"/>
      <c r="AD100" s="43"/>
      <c r="AE100" s="43"/>
      <c r="AF100" s="43"/>
      <c r="AG100" s="43"/>
      <c r="AH100" s="43"/>
      <c r="AI100" s="43"/>
    </row>
    <row r="101" spans="1:35">
      <c r="A101" s="274" t="s">
        <v>85</v>
      </c>
      <c r="B101" s="275"/>
      <c r="C101" s="275"/>
      <c r="D101" s="275"/>
      <c r="E101" s="275"/>
      <c r="F101" s="275"/>
      <c r="G101" s="275"/>
      <c r="H101" s="275"/>
      <c r="I101" s="275"/>
      <c r="J101" s="275"/>
      <c r="K101" s="275"/>
      <c r="L101" s="275"/>
      <c r="M101" s="275"/>
      <c r="N101" s="275"/>
      <c r="O101" s="275"/>
      <c r="P101" s="275"/>
      <c r="Q101" s="287"/>
      <c r="R101" s="43"/>
      <c r="S101" s="43"/>
      <c r="T101" s="43"/>
      <c r="U101" s="43"/>
      <c r="V101" s="43"/>
      <c r="W101" s="43"/>
      <c r="X101" s="43"/>
      <c r="Y101" s="43"/>
      <c r="Z101" s="43"/>
      <c r="AA101" s="43"/>
      <c r="AB101" s="43"/>
      <c r="AC101" s="43"/>
      <c r="AD101" s="43"/>
      <c r="AE101" s="43"/>
      <c r="AF101" s="43"/>
      <c r="AG101" s="43"/>
      <c r="AH101" s="43"/>
      <c r="AI101" s="43"/>
    </row>
    <row r="102" spans="1:35">
      <c r="A102" s="276" t="s">
        <v>86</v>
      </c>
      <c r="B102" s="275"/>
      <c r="C102" s="275"/>
      <c r="D102" s="275"/>
      <c r="E102" s="275"/>
      <c r="F102" s="275"/>
      <c r="G102" s="275"/>
      <c r="H102" s="275"/>
      <c r="I102" s="275"/>
      <c r="J102" s="275"/>
      <c r="K102" s="275"/>
      <c r="L102" s="275"/>
      <c r="M102" s="275"/>
      <c r="N102" s="275"/>
      <c r="O102" s="275"/>
      <c r="P102" s="275"/>
      <c r="Q102" s="287"/>
      <c r="R102" s="43"/>
      <c r="S102" s="43"/>
      <c r="T102" s="43"/>
      <c r="U102" s="43"/>
      <c r="V102" s="43"/>
      <c r="W102" s="43"/>
      <c r="X102" s="43"/>
      <c r="Y102" s="43"/>
      <c r="Z102" s="43"/>
      <c r="AA102" s="43"/>
      <c r="AB102" s="43"/>
      <c r="AC102" s="43"/>
      <c r="AD102" s="43"/>
      <c r="AE102" s="43"/>
      <c r="AF102" s="43"/>
      <c r="AG102" s="43"/>
      <c r="AH102" s="43"/>
      <c r="AI102" s="43"/>
    </row>
    <row r="103" spans="1:35">
      <c r="A103" s="277"/>
      <c r="B103" s="275"/>
      <c r="C103" s="275"/>
      <c r="D103" s="275"/>
      <c r="E103" s="275"/>
      <c r="F103" s="275"/>
      <c r="G103" s="275"/>
      <c r="H103" s="275"/>
      <c r="I103" s="275"/>
      <c r="J103" s="275"/>
      <c r="K103" s="275"/>
      <c r="L103" s="275"/>
      <c r="M103" s="275"/>
      <c r="N103" s="275"/>
      <c r="O103" s="275"/>
      <c r="P103" s="275"/>
      <c r="Q103" s="287"/>
      <c r="R103" s="43"/>
      <c r="S103" s="43"/>
      <c r="T103" s="43"/>
      <c r="U103" s="43"/>
      <c r="V103" s="43"/>
      <c r="W103" s="43"/>
      <c r="X103" s="43"/>
      <c r="Y103" s="43"/>
      <c r="Z103" s="43"/>
      <c r="AA103" s="43"/>
      <c r="AB103" s="43"/>
      <c r="AC103" s="43"/>
      <c r="AD103" s="43"/>
      <c r="AE103" s="43"/>
      <c r="AF103" s="43"/>
      <c r="AG103" s="43"/>
      <c r="AH103" s="43"/>
      <c r="AI103" s="43"/>
    </row>
    <row r="104" spans="1:35">
      <c r="A104" s="274" t="s">
        <v>87</v>
      </c>
      <c r="B104" s="275"/>
      <c r="C104" s="275"/>
      <c r="D104" s="275"/>
      <c r="E104" s="275"/>
      <c r="F104" s="275"/>
      <c r="G104" s="275"/>
      <c r="H104" s="275"/>
      <c r="I104" s="275"/>
      <c r="J104" s="275"/>
      <c r="K104" s="275"/>
      <c r="L104" s="275"/>
      <c r="M104" s="275"/>
      <c r="N104" s="275"/>
      <c r="O104" s="275"/>
      <c r="P104" s="275"/>
      <c r="Q104" s="287"/>
      <c r="R104" s="43"/>
      <c r="S104" s="43"/>
      <c r="T104" s="43"/>
      <c r="U104" s="43"/>
      <c r="V104" s="43"/>
      <c r="W104" s="43"/>
      <c r="X104" s="43"/>
      <c r="Y104" s="43"/>
      <c r="Z104" s="43"/>
      <c r="AA104" s="43"/>
      <c r="AB104" s="43"/>
      <c r="AC104" s="43"/>
      <c r="AD104" s="43"/>
      <c r="AE104" s="43"/>
      <c r="AF104" s="43"/>
      <c r="AG104" s="43"/>
      <c r="AH104" s="43"/>
      <c r="AI104" s="43"/>
    </row>
    <row r="105" spans="1:35">
      <c r="A105" s="278" t="s">
        <v>88</v>
      </c>
      <c r="B105" s="275"/>
      <c r="C105" s="275"/>
      <c r="D105" s="275"/>
      <c r="E105" s="275"/>
      <c r="F105" s="275"/>
      <c r="G105" s="275"/>
      <c r="H105" s="275"/>
      <c r="I105" s="275"/>
      <c r="J105" s="275"/>
      <c r="K105" s="275"/>
      <c r="L105" s="275"/>
      <c r="M105" s="275"/>
      <c r="N105" s="275"/>
      <c r="O105" s="275"/>
      <c r="P105" s="275"/>
      <c r="Q105" s="287"/>
      <c r="R105" s="43"/>
      <c r="S105" s="43"/>
      <c r="T105" s="43"/>
      <c r="U105" s="43"/>
      <c r="V105" s="43"/>
      <c r="W105" s="43"/>
      <c r="X105" s="43"/>
      <c r="Y105" s="43"/>
      <c r="Z105" s="43"/>
      <c r="AA105" s="43"/>
      <c r="AB105" s="43"/>
      <c r="AC105" s="43"/>
      <c r="AD105" s="43"/>
      <c r="AE105" s="43"/>
      <c r="AF105" s="43"/>
      <c r="AG105" s="43"/>
      <c r="AH105" s="43"/>
      <c r="AI105" s="43"/>
    </row>
    <row r="106" spans="1:35">
      <c r="A106" s="278"/>
      <c r="B106" s="275"/>
      <c r="C106" s="275"/>
      <c r="D106" s="275"/>
      <c r="E106" s="275"/>
      <c r="F106" s="275"/>
      <c r="G106" s="275"/>
      <c r="H106" s="275"/>
      <c r="I106" s="275"/>
      <c r="J106" s="275"/>
      <c r="K106" s="275"/>
      <c r="L106" s="275"/>
      <c r="M106" s="275"/>
      <c r="N106" s="275"/>
      <c r="O106" s="275"/>
      <c r="P106" s="275"/>
      <c r="Q106" s="287"/>
      <c r="R106" s="43"/>
      <c r="S106" s="43"/>
      <c r="T106" s="43"/>
      <c r="U106" s="43"/>
      <c r="V106" s="43"/>
      <c r="W106" s="43"/>
      <c r="X106" s="43"/>
      <c r="Y106" s="43"/>
      <c r="Z106" s="43"/>
      <c r="AA106" s="43"/>
      <c r="AB106" s="43"/>
      <c r="AC106" s="43"/>
      <c r="AD106" s="43"/>
      <c r="AE106" s="43"/>
      <c r="AF106" s="43"/>
      <c r="AG106" s="43"/>
      <c r="AH106" s="43"/>
      <c r="AI106" s="43"/>
    </row>
    <row r="107" spans="1:35">
      <c r="A107" s="274" t="s">
        <v>89</v>
      </c>
      <c r="B107" s="275"/>
      <c r="C107" s="275"/>
      <c r="D107" s="275"/>
      <c r="E107" s="275"/>
      <c r="F107" s="275"/>
      <c r="G107" s="275"/>
      <c r="H107" s="275"/>
      <c r="I107" s="275"/>
      <c r="J107" s="275"/>
      <c r="K107" s="275"/>
      <c r="L107" s="275"/>
      <c r="M107" s="275"/>
      <c r="N107" s="275"/>
      <c r="O107" s="275"/>
      <c r="P107" s="275"/>
      <c r="Q107" s="287"/>
      <c r="R107" s="43"/>
      <c r="S107" s="43"/>
      <c r="T107" s="43"/>
      <c r="U107" s="43"/>
      <c r="V107" s="43"/>
      <c r="W107" s="43"/>
      <c r="X107" s="43"/>
      <c r="Y107" s="43"/>
      <c r="Z107" s="43"/>
      <c r="AA107" s="43"/>
      <c r="AB107" s="43"/>
      <c r="AC107" s="43"/>
      <c r="AD107" s="43"/>
      <c r="AE107" s="43"/>
      <c r="AF107" s="43"/>
      <c r="AG107" s="43"/>
      <c r="AH107" s="43"/>
      <c r="AI107" s="43"/>
    </row>
    <row r="108" spans="1:35">
      <c r="A108" s="278" t="s">
        <v>90</v>
      </c>
      <c r="B108" s="275"/>
      <c r="C108" s="275"/>
      <c r="D108" s="275"/>
      <c r="E108" s="275"/>
      <c r="F108" s="275"/>
      <c r="G108" s="275"/>
      <c r="H108" s="275"/>
      <c r="I108" s="275"/>
      <c r="J108" s="275"/>
      <c r="K108" s="275"/>
      <c r="L108" s="275"/>
      <c r="M108" s="275"/>
      <c r="N108" s="275"/>
      <c r="O108" s="275"/>
      <c r="P108" s="275"/>
      <c r="Q108" s="287"/>
      <c r="R108" s="43"/>
      <c r="S108" s="43"/>
      <c r="T108" s="43"/>
      <c r="U108" s="43"/>
      <c r="V108" s="43"/>
      <c r="W108" s="43"/>
      <c r="X108" s="43"/>
      <c r="Y108" s="43"/>
      <c r="Z108" s="43"/>
      <c r="AA108" s="43"/>
      <c r="AB108" s="43"/>
      <c r="AC108" s="43"/>
      <c r="AD108" s="43"/>
      <c r="AE108" s="43"/>
      <c r="AF108" s="43"/>
      <c r="AG108" s="43"/>
      <c r="AH108" s="43"/>
      <c r="AI108" s="43"/>
    </row>
    <row r="109" spans="1:35">
      <c r="A109" s="279"/>
      <c r="B109" s="279"/>
      <c r="C109" s="279"/>
      <c r="D109" s="279"/>
      <c r="E109" s="279"/>
      <c r="F109" s="279"/>
      <c r="G109" s="279"/>
      <c r="H109" s="279"/>
      <c r="I109" s="279"/>
      <c r="J109" s="279"/>
      <c r="K109" s="279"/>
      <c r="L109" s="279"/>
      <c r="M109" s="279"/>
      <c r="N109" s="279"/>
      <c r="O109" s="279"/>
      <c r="P109" s="279"/>
      <c r="Q109" s="288"/>
      <c r="R109" s="43"/>
      <c r="S109" s="43"/>
      <c r="T109" s="43"/>
      <c r="U109" s="43"/>
      <c r="V109" s="43"/>
      <c r="W109" s="43"/>
      <c r="X109" s="43"/>
      <c r="Y109" s="43"/>
      <c r="Z109" s="43"/>
      <c r="AA109" s="43"/>
      <c r="AB109" s="43"/>
      <c r="AC109" s="43"/>
      <c r="AD109" s="43"/>
      <c r="AE109" s="43"/>
      <c r="AF109" s="43"/>
      <c r="AG109" s="43"/>
      <c r="AH109" s="43"/>
      <c r="AI109" s="43"/>
    </row>
    <row r="110" spans="1:35" ht="102.75" customHeight="1">
      <c r="A110" s="300" t="s">
        <v>91</v>
      </c>
      <c r="B110" s="301"/>
      <c r="C110" s="301"/>
      <c r="D110" s="301"/>
      <c r="E110" s="301"/>
      <c r="F110" s="301"/>
      <c r="G110" s="301"/>
      <c r="H110" s="301"/>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row>
    <row r="111" spans="1:3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row>
    <row r="112" spans="1:3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row>
    <row r="113" spans="1:3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row>
    <row r="114" spans="1:3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row>
    <row r="115" spans="1:3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row>
  </sheetData>
  <sheetProtection sheet="1" objects="1" scenarios="1"/>
  <mergeCells count="1">
    <mergeCell ref="A110:H110"/>
  </mergeCells>
  <pageMargins left="0.7" right="0.7" top="0.75" bottom="0.75" header="0.3" footer="0.3"/>
  <pageSetup paperSize="9" scale="27" fitToHeight="0"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3">
    <pageSetUpPr fitToPage="1"/>
  </sheetPr>
  <dimension ref="A1:BP224"/>
  <sheetViews>
    <sheetView tabSelected="1" zoomScale="80" zoomScaleNormal="80" workbookViewId="0">
      <selection activeCell="F19" sqref="F19"/>
    </sheetView>
  </sheetViews>
  <sheetFormatPr defaultColWidth="9" defaultRowHeight="15"/>
  <cols>
    <col min="1" max="1" width="66.42578125" style="46" customWidth="1"/>
    <col min="2" max="2" width="44.140625" style="46" customWidth="1"/>
    <col min="3" max="3" width="43.140625" style="46" customWidth="1"/>
    <col min="4" max="4" width="3.28515625" style="46" customWidth="1"/>
    <col min="5" max="5" width="5" style="46" customWidth="1"/>
    <col min="6" max="6" width="31.7109375" customWidth="1"/>
    <col min="7" max="7" width="2.5703125" customWidth="1"/>
    <col min="8" max="8" width="27.5703125" customWidth="1"/>
    <col min="9" max="9" width="2.28515625" customWidth="1"/>
    <col min="10" max="10" width="32.42578125" customWidth="1"/>
    <col min="11" max="11" width="1.85546875" customWidth="1"/>
    <col min="12" max="12" width="17.7109375" customWidth="1"/>
    <col min="13" max="13" width="5.85546875" customWidth="1"/>
    <col min="14" max="14" width="6.140625" customWidth="1"/>
    <col min="15" max="15" width="6.5703125" customWidth="1"/>
  </cols>
  <sheetData>
    <row r="1" spans="1:68">
      <c r="A1" s="47"/>
      <c r="B1" s="47"/>
      <c r="C1" s="47"/>
      <c r="D1" s="47"/>
      <c r="E1" s="47"/>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row>
    <row r="2" spans="1:68">
      <c r="A2" s="47"/>
      <c r="B2" s="47"/>
      <c r="C2" s="47"/>
      <c r="D2" s="47"/>
      <c r="E2" s="47"/>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row>
    <row r="3" spans="1:68" ht="45.75" customHeight="1">
      <c r="A3" s="47"/>
      <c r="B3" s="47"/>
      <c r="C3" s="47"/>
      <c r="D3" s="47"/>
      <c r="E3" s="47"/>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row>
    <row r="4" spans="1:68" ht="21.95" customHeight="1">
      <c r="A4" s="48" t="s">
        <v>92</v>
      </c>
      <c r="B4" s="47"/>
      <c r="C4" s="47"/>
      <c r="D4" s="47"/>
      <c r="E4" s="47"/>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row>
    <row r="5" spans="1:68" ht="15.75">
      <c r="A5" s="49" t="s">
        <v>93</v>
      </c>
      <c r="B5" s="50" t="s">
        <v>94</v>
      </c>
      <c r="C5"/>
      <c r="D5" s="51"/>
      <c r="E5" s="51"/>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row>
    <row r="6" spans="1:68" ht="15.75">
      <c r="A6" s="52" t="s">
        <v>95</v>
      </c>
      <c r="B6" s="53" t="s">
        <v>96</v>
      </c>
      <c r="C6" s="54"/>
      <c r="D6" s="51"/>
      <c r="E6" s="51"/>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row>
    <row r="7" spans="1:68" ht="15.75">
      <c r="A7" s="55"/>
      <c r="B7" s="56"/>
      <c r="C7" s="43"/>
      <c r="D7" s="51"/>
      <c r="E7" s="51"/>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row>
    <row r="8" spans="1:68" ht="15.75">
      <c r="A8" s="52" t="s">
        <v>97</v>
      </c>
      <c r="B8" s="57" t="s">
        <v>98</v>
      </c>
      <c r="C8" s="43"/>
      <c r="D8" s="51"/>
      <c r="E8" s="51"/>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row>
    <row r="9" spans="1:68" ht="15.75">
      <c r="A9" s="58" t="s">
        <v>99</v>
      </c>
      <c r="B9" s="57" t="s">
        <v>100</v>
      </c>
      <c r="C9" s="43"/>
      <c r="D9" s="51"/>
      <c r="E9" s="51"/>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row>
    <row r="10" spans="1:68" ht="15.75">
      <c r="A10" s="59" t="s">
        <v>101</v>
      </c>
      <c r="B10" s="57" t="s">
        <v>102</v>
      </c>
      <c r="C10" s="43"/>
      <c r="D10" s="51"/>
      <c r="E10" s="51"/>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row>
    <row r="11" spans="1:68" ht="15.75">
      <c r="A11" s="5"/>
      <c r="B11" s="60"/>
      <c r="C11" s="54"/>
      <c r="D11" s="51"/>
      <c r="E11" s="51"/>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row>
    <row r="12" spans="1:68" ht="15.75">
      <c r="A12" s="61" t="s">
        <v>103</v>
      </c>
      <c r="B12" s="60"/>
      <c r="C12" s="54"/>
      <c r="D12" s="51"/>
      <c r="E12" s="51"/>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row>
    <row r="13" spans="1:68" ht="15.75">
      <c r="A13" s="62" t="s">
        <v>104</v>
      </c>
      <c r="B13" s="57">
        <v>250000</v>
      </c>
      <c r="C13" s="54"/>
      <c r="D13" s="51"/>
      <c r="E13" s="51"/>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row>
    <row r="14" spans="1:68" ht="15.75">
      <c r="A14" s="62" t="s">
        <v>105</v>
      </c>
      <c r="B14" s="57">
        <v>500000</v>
      </c>
      <c r="C14" s="54"/>
      <c r="D14" s="51"/>
      <c r="E14" s="51"/>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row>
    <row r="15" spans="1:68" ht="15.75">
      <c r="A15" s="62" t="s">
        <v>106</v>
      </c>
      <c r="B15" s="63"/>
      <c r="C15" s="54"/>
      <c r="D15" s="51"/>
      <c r="E15" s="51"/>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row>
    <row r="16" spans="1:68">
      <c r="A16" s="64"/>
      <c r="B16" s="47"/>
      <c r="C16" s="47"/>
      <c r="D16" s="47"/>
      <c r="E16" s="47"/>
      <c r="F16" s="43"/>
      <c r="G16" s="43"/>
      <c r="H16" s="43"/>
      <c r="I16" s="43"/>
      <c r="J16" s="68"/>
      <c r="K16" s="43"/>
      <c r="L16" s="68"/>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row>
    <row r="17" spans="1:68" ht="21.95" customHeight="1">
      <c r="A17" s="65" t="s">
        <v>107</v>
      </c>
      <c r="B17" s="66"/>
      <c r="C17" s="67"/>
      <c r="D17" s="47"/>
      <c r="E17" s="47"/>
      <c r="F17" s="68"/>
      <c r="G17" s="43"/>
      <c r="H17" s="68"/>
      <c r="I17" s="43"/>
      <c r="J17" s="68"/>
      <c r="K17" s="75"/>
      <c r="L17" s="68"/>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row>
    <row r="18" spans="1:68" ht="15.6" customHeight="1">
      <c r="A18" s="69"/>
      <c r="B18" s="70"/>
      <c r="C18" s="71"/>
      <c r="D18" s="47"/>
      <c r="E18" s="47"/>
      <c r="F18" s="68"/>
      <c r="G18" s="43"/>
      <c r="H18" s="68"/>
      <c r="I18" s="43"/>
      <c r="J18" s="68"/>
      <c r="K18" s="75"/>
      <c r="L18" s="68"/>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row>
    <row r="19" spans="1:68" ht="17.100000000000001" customHeight="1">
      <c r="A19" s="72" t="s">
        <v>108</v>
      </c>
      <c r="B19" s="73" t="s">
        <v>109</v>
      </c>
      <c r="C19" s="73" t="s">
        <v>304</v>
      </c>
      <c r="D19" s="74"/>
      <c r="E19" s="74"/>
      <c r="F19" s="68"/>
      <c r="G19" s="75"/>
      <c r="H19" s="68"/>
      <c r="I19" s="43"/>
      <c r="J19" s="68"/>
      <c r="K19" s="43"/>
      <c r="L19" s="68"/>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row>
    <row r="20" spans="1:68" ht="17.100000000000001" customHeight="1">
      <c r="A20" s="76"/>
      <c r="B20" s="77"/>
      <c r="C20" s="78"/>
      <c r="D20" s="74"/>
      <c r="E20" s="74"/>
      <c r="F20" s="68"/>
      <c r="G20" s="75"/>
      <c r="H20" s="68"/>
      <c r="I20" s="43"/>
      <c r="J20" s="68"/>
      <c r="K20" s="43"/>
      <c r="L20" s="68"/>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row>
    <row r="21" spans="1:68" ht="17.100000000000001" customHeight="1">
      <c r="A21" s="79" t="s">
        <v>110</v>
      </c>
      <c r="B21" s="80"/>
      <c r="C21" s="73">
        <v>5</v>
      </c>
      <c r="D21" s="74"/>
      <c r="E21" s="74"/>
      <c r="F21" s="68"/>
      <c r="G21" s="75"/>
      <c r="H21" s="68"/>
      <c r="I21" s="43"/>
      <c r="J21" s="68"/>
      <c r="K21" s="43"/>
      <c r="L21" s="68"/>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row>
    <row r="22" spans="1:68" ht="17.100000000000001" customHeight="1">
      <c r="A22" s="81"/>
      <c r="B22" s="82"/>
      <c r="C22" s="82"/>
      <c r="D22" s="74"/>
      <c r="E22" s="74"/>
      <c r="F22" s="68"/>
      <c r="G22" s="75"/>
      <c r="H22" s="68"/>
      <c r="I22" s="43"/>
      <c r="J22" s="68"/>
      <c r="K22" s="43"/>
      <c r="L22" s="68"/>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row>
    <row r="23" spans="1:68" ht="17.100000000000001" customHeight="1">
      <c r="A23" s="83" t="s">
        <v>111</v>
      </c>
      <c r="B23" s="84">
        <v>20</v>
      </c>
      <c r="C23" s="84">
        <v>20</v>
      </c>
      <c r="D23" s="74"/>
      <c r="E23" s="74"/>
      <c r="F23" s="68"/>
      <c r="G23" s="75"/>
      <c r="H23" s="68"/>
      <c r="I23" s="43"/>
      <c r="J23" s="68"/>
      <c r="K23" s="43"/>
      <c r="L23" s="68"/>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row>
    <row r="24" spans="1:68" ht="17.100000000000001" customHeight="1">
      <c r="A24" s="79"/>
      <c r="B24" s="85"/>
      <c r="C24" s="86"/>
      <c r="D24" s="74"/>
      <c r="E24" s="74"/>
      <c r="F24" s="68"/>
      <c r="G24" s="75"/>
      <c r="H24" s="68"/>
      <c r="I24" s="43"/>
      <c r="J24" s="68"/>
      <c r="K24" s="43"/>
      <c r="L24" s="68"/>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row>
    <row r="25" spans="1:68" ht="17.100000000000001" customHeight="1">
      <c r="A25" s="87" t="s">
        <v>112</v>
      </c>
      <c r="B25" s="88" t="str">
        <f>B19</f>
        <v>One measure</v>
      </c>
      <c r="C25" s="88" t="str">
        <f>C19</f>
        <v>Group procurement of the measure</v>
      </c>
      <c r="D25" s="74"/>
      <c r="E25" s="74"/>
      <c r="F25" s="68"/>
      <c r="G25" s="75"/>
      <c r="H25" s="68"/>
      <c r="I25" s="43"/>
      <c r="J25" s="68"/>
      <c r="K25" s="43"/>
      <c r="L25" s="68"/>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row>
    <row r="26" spans="1:68" ht="17.100000000000001" customHeight="1">
      <c r="A26" s="89"/>
      <c r="B26" s="90"/>
      <c r="C26" s="91"/>
      <c r="D26" s="74"/>
      <c r="E26" s="74"/>
      <c r="F26" s="68"/>
      <c r="G26" s="75"/>
      <c r="H26" s="68"/>
      <c r="I26" s="43"/>
      <c r="J26" s="68"/>
      <c r="K26" s="43"/>
      <c r="L26" s="68"/>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row>
    <row r="27" spans="1:68" ht="17.100000000000001" customHeight="1">
      <c r="A27" s="92" t="s">
        <v>113</v>
      </c>
      <c r="B27" s="93" t="str">
        <f>B19</f>
        <v>One measure</v>
      </c>
      <c r="C27" s="93" t="str">
        <f>C19</f>
        <v>Group procurement of the measure</v>
      </c>
      <c r="D27" s="74"/>
      <c r="E27" s="74"/>
      <c r="F27" s="68"/>
      <c r="G27" s="75"/>
      <c r="H27" s="68"/>
      <c r="I27" s="43"/>
      <c r="J27" s="68"/>
      <c r="K27" s="43"/>
      <c r="L27" s="68"/>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row>
    <row r="28" spans="1:68">
      <c r="A28" s="94" t="s">
        <v>114</v>
      </c>
      <c r="B28" s="95">
        <v>0.12</v>
      </c>
      <c r="C28" s="96">
        <v>0.12</v>
      </c>
      <c r="D28" s="47"/>
      <c r="E28" s="47"/>
      <c r="F28" s="43"/>
      <c r="G28" s="75"/>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row>
    <row r="29" spans="1:68">
      <c r="A29" s="97"/>
      <c r="B29" s="90"/>
      <c r="C29" s="91"/>
      <c r="D29" s="47"/>
      <c r="E29" s="47"/>
      <c r="F29" s="98"/>
      <c r="G29" s="98"/>
      <c r="H29" s="98"/>
      <c r="I29" s="98"/>
      <c r="J29" s="98"/>
      <c r="K29" s="98"/>
      <c r="L29" s="98"/>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row>
    <row r="30" spans="1:68">
      <c r="A30" s="94" t="s">
        <v>115</v>
      </c>
      <c r="B30" s="99">
        <v>2000</v>
      </c>
      <c r="C30" s="100">
        <f>B30*C21</f>
        <v>10000</v>
      </c>
      <c r="D30" s="47"/>
      <c r="E30" s="47"/>
      <c r="F30" s="98"/>
      <c r="G30" s="101"/>
      <c r="H30" s="98"/>
      <c r="I30" s="98"/>
      <c r="J30" s="98"/>
      <c r="K30" s="98"/>
      <c r="L30" s="98"/>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row>
    <row r="31" spans="1:68">
      <c r="A31" s="97"/>
      <c r="B31" s="90"/>
      <c r="C31" s="91"/>
      <c r="D31" s="47"/>
      <c r="E31" s="47"/>
      <c r="F31" s="98"/>
      <c r="G31" s="98"/>
      <c r="H31" s="98"/>
      <c r="I31" s="98"/>
      <c r="J31" s="98"/>
      <c r="K31" s="98"/>
      <c r="L31" s="98"/>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row>
    <row r="32" spans="1:68">
      <c r="A32" s="94" t="s">
        <v>116</v>
      </c>
      <c r="B32" s="84">
        <v>0.2</v>
      </c>
      <c r="C32" s="84">
        <v>0.2</v>
      </c>
      <c r="D32" s="47"/>
      <c r="E32" s="47"/>
      <c r="F32" s="98"/>
      <c r="G32" s="98"/>
      <c r="H32" s="98"/>
      <c r="I32" s="98"/>
      <c r="J32" s="98"/>
      <c r="K32" s="98"/>
      <c r="L32" s="98"/>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row>
    <row r="33" spans="1:68">
      <c r="A33" s="102"/>
      <c r="B33" s="90"/>
      <c r="C33" s="91"/>
      <c r="D33" s="103"/>
      <c r="E33" s="47"/>
      <c r="F33" s="98"/>
      <c r="G33" s="98"/>
      <c r="H33" s="98"/>
      <c r="I33" s="98"/>
      <c r="J33" s="98"/>
      <c r="K33" s="98"/>
      <c r="L33" s="98"/>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row>
    <row r="34" spans="1:68">
      <c r="A34" s="94" t="s">
        <v>117</v>
      </c>
      <c r="B34" s="104">
        <v>0.03</v>
      </c>
      <c r="C34" s="104">
        <v>0.03</v>
      </c>
      <c r="D34" s="105"/>
      <c r="E34" s="47"/>
      <c r="F34" s="98"/>
      <c r="G34" s="98"/>
      <c r="H34" s="98"/>
      <c r="I34" s="98"/>
      <c r="J34" s="98"/>
      <c r="K34" s="98"/>
      <c r="L34" s="98"/>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row>
    <row r="35" spans="1:68">
      <c r="A35" s="89"/>
      <c r="B35" s="106"/>
      <c r="C35" s="107"/>
      <c r="D35" s="103"/>
      <c r="E35" s="47"/>
      <c r="F35" s="98"/>
      <c r="G35" s="98"/>
      <c r="H35" s="98"/>
      <c r="I35" s="98"/>
      <c r="J35" s="98"/>
      <c r="K35" s="98"/>
      <c r="L35" s="98"/>
      <c r="M35" s="142"/>
      <c r="N35" s="142"/>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row>
    <row r="36" spans="1:68">
      <c r="A36" s="94" t="s">
        <v>118</v>
      </c>
      <c r="B36" s="104">
        <v>0.06</v>
      </c>
      <c r="C36" s="104">
        <v>0.06</v>
      </c>
      <c r="D36" s="103"/>
      <c r="E36" s="47"/>
      <c r="F36" s="98"/>
      <c r="G36" s="98"/>
      <c r="H36" s="98"/>
      <c r="I36" s="98"/>
      <c r="J36" s="98"/>
      <c r="K36" s="98"/>
      <c r="L36" s="98"/>
      <c r="M36" s="142"/>
      <c r="N36" s="142"/>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row>
    <row r="37" spans="1:68">
      <c r="A37" s="108"/>
      <c r="B37" s="109"/>
      <c r="C37" s="110"/>
      <c r="D37" s="103"/>
      <c r="E37" s="47"/>
      <c r="F37" s="98"/>
      <c r="G37" s="98"/>
      <c r="H37" s="98"/>
      <c r="I37" s="98"/>
      <c r="J37" s="98"/>
      <c r="K37" s="98"/>
      <c r="L37" s="98"/>
      <c r="M37" s="142"/>
      <c r="N37" s="142"/>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row>
    <row r="38" spans="1:68">
      <c r="A38" s="97"/>
      <c r="B38" s="90"/>
      <c r="C38" s="91"/>
      <c r="D38" s="105"/>
      <c r="E38" s="47"/>
      <c r="F38" s="98"/>
      <c r="G38" s="98"/>
      <c r="H38" s="98"/>
      <c r="I38" s="98"/>
      <c r="J38" s="98"/>
      <c r="K38" s="98"/>
      <c r="L38" s="98"/>
      <c r="M38" s="43"/>
      <c r="N38" s="68"/>
      <c r="O38" s="43"/>
      <c r="P38" s="68"/>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row>
    <row r="39" spans="1:68" ht="15.75">
      <c r="A39" s="111" t="s">
        <v>119</v>
      </c>
      <c r="B39" s="112" t="str">
        <f>B19</f>
        <v>One measure</v>
      </c>
      <c r="C39" s="112" t="str">
        <f>C19</f>
        <v>Group procurement of the measure</v>
      </c>
      <c r="D39" s="105"/>
      <c r="E39" s="47"/>
      <c r="F39" s="98"/>
      <c r="G39" s="98"/>
      <c r="H39" s="98"/>
      <c r="I39" s="98"/>
      <c r="J39" s="98"/>
      <c r="K39" s="98"/>
      <c r="L39" s="98"/>
      <c r="M39" s="43"/>
      <c r="N39" s="68"/>
      <c r="O39" s="43"/>
      <c r="P39" s="68"/>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row>
    <row r="40" spans="1:68">
      <c r="A40" s="113" t="s">
        <v>120</v>
      </c>
      <c r="B40" s="114">
        <v>0.09</v>
      </c>
      <c r="C40" s="96">
        <v>0.09</v>
      </c>
      <c r="D40" s="105"/>
      <c r="E40" s="47"/>
      <c r="F40" s="98"/>
      <c r="G40" s="98"/>
      <c r="H40" s="98"/>
      <c r="I40" s="98"/>
      <c r="J40" s="98"/>
      <c r="K40" s="98"/>
      <c r="L40" s="98"/>
      <c r="M40" s="43"/>
      <c r="N40" s="68"/>
      <c r="O40" s="43"/>
      <c r="P40" s="68"/>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row>
    <row r="41" spans="1:68">
      <c r="A41" s="102"/>
      <c r="B41" s="90"/>
      <c r="C41" s="91"/>
      <c r="D41" s="103"/>
      <c r="E41" s="47"/>
      <c r="F41" s="98"/>
      <c r="G41" s="98"/>
      <c r="H41" s="98"/>
      <c r="I41" s="98"/>
      <c r="J41" s="98"/>
      <c r="K41" s="98"/>
      <c r="L41" s="98"/>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row>
    <row r="42" spans="1:68">
      <c r="A42" s="113" t="s">
        <v>121</v>
      </c>
      <c r="B42" s="115">
        <v>-130000</v>
      </c>
      <c r="C42" s="116">
        <f>B42*C21</f>
        <v>-650000</v>
      </c>
      <c r="D42" s="105"/>
      <c r="E42" s="47"/>
      <c r="F42" s="98"/>
      <c r="G42" s="98"/>
      <c r="H42" s="98"/>
      <c r="I42" s="98"/>
      <c r="J42" s="98"/>
      <c r="K42" s="98"/>
      <c r="L42" s="98"/>
      <c r="M42" s="143"/>
      <c r="N42" s="144"/>
      <c r="O42" s="43"/>
      <c r="P42" s="145"/>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row>
    <row r="43" spans="1:68">
      <c r="A43" s="97"/>
      <c r="B43" s="97"/>
      <c r="C43" s="91"/>
      <c r="D43" s="117"/>
      <c r="E43" s="47"/>
      <c r="F43" s="98"/>
      <c r="G43" s="98"/>
      <c r="H43" s="98"/>
      <c r="I43" s="101"/>
      <c r="J43" s="98"/>
      <c r="K43" s="98"/>
      <c r="L43" s="98"/>
      <c r="M43" s="43"/>
      <c r="N43" s="145"/>
      <c r="O43" s="43"/>
      <c r="P43" s="145"/>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row>
    <row r="44" spans="1:68">
      <c r="A44" s="113" t="s">
        <v>122</v>
      </c>
      <c r="B44" s="118">
        <v>0.16</v>
      </c>
      <c r="C44" s="84">
        <v>0.16</v>
      </c>
      <c r="D44" s="105"/>
      <c r="E44" s="47"/>
      <c r="F44" s="98"/>
      <c r="G44" s="98"/>
      <c r="H44" s="98"/>
      <c r="I44" s="98"/>
      <c r="J44" s="98"/>
      <c r="K44" s="98"/>
      <c r="L44" s="98"/>
      <c r="M44" s="146"/>
      <c r="N44" s="145"/>
      <c r="O44" s="43"/>
      <c r="P44" s="145"/>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row>
    <row r="45" spans="1:68">
      <c r="A45" s="97"/>
      <c r="B45" s="90"/>
      <c r="C45" s="91"/>
      <c r="D45" s="119"/>
      <c r="E45" s="47"/>
      <c r="F45" s="98"/>
      <c r="G45" s="98"/>
      <c r="H45" s="98"/>
      <c r="I45" s="98"/>
      <c r="J45" s="98"/>
      <c r="K45" s="98"/>
      <c r="L45" s="98"/>
      <c r="M45" s="43"/>
      <c r="N45" s="145"/>
      <c r="O45" s="43"/>
      <c r="P45" s="145"/>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row>
    <row r="46" spans="1:68">
      <c r="A46" s="113" t="s">
        <v>123</v>
      </c>
      <c r="B46" s="120">
        <v>0.03</v>
      </c>
      <c r="C46" s="104">
        <v>0.03</v>
      </c>
      <c r="D46" s="105"/>
      <c r="E46" s="47"/>
      <c r="F46" s="98"/>
      <c r="G46" s="98"/>
      <c r="H46" s="98"/>
      <c r="I46" s="98"/>
      <c r="J46" s="98"/>
      <c r="K46" s="98"/>
      <c r="L46" s="98"/>
      <c r="M46" s="143"/>
      <c r="N46" s="144"/>
      <c r="O46" s="43"/>
      <c r="P46" s="145"/>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row>
    <row r="47" spans="1:68">
      <c r="A47" s="89"/>
      <c r="B47" s="106"/>
      <c r="C47" s="107"/>
      <c r="D47" s="119"/>
      <c r="E47" s="47"/>
      <c r="F47" s="98"/>
      <c r="G47" s="98"/>
      <c r="H47" s="98"/>
      <c r="I47" s="98"/>
      <c r="J47" s="98"/>
      <c r="K47" s="98"/>
      <c r="L47" s="98"/>
      <c r="M47" s="43"/>
      <c r="N47" s="145"/>
      <c r="O47" s="43"/>
      <c r="P47" s="145"/>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row>
    <row r="48" spans="1:68">
      <c r="A48" s="113" t="s">
        <v>124</v>
      </c>
      <c r="B48" s="120">
        <v>0.06</v>
      </c>
      <c r="C48" s="104">
        <v>0.06</v>
      </c>
      <c r="D48" s="119"/>
      <c r="E48" s="47"/>
      <c r="F48" s="98"/>
      <c r="G48" s="98"/>
      <c r="H48" s="98"/>
      <c r="I48" s="98"/>
      <c r="J48" s="98"/>
      <c r="K48" s="98"/>
      <c r="L48" s="98"/>
      <c r="M48" s="43"/>
      <c r="N48" s="145"/>
      <c r="O48" s="43"/>
      <c r="P48" s="145"/>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row>
    <row r="49" spans="1:68">
      <c r="A49" s="121"/>
      <c r="B49" s="122"/>
      <c r="C49" s="123"/>
      <c r="D49" s="119"/>
      <c r="E49" s="47"/>
      <c r="F49" s="98"/>
      <c r="G49" s="98"/>
      <c r="H49" s="98"/>
      <c r="I49" s="98"/>
      <c r="J49" s="98"/>
      <c r="K49" s="98"/>
      <c r="L49" s="98"/>
      <c r="M49" s="43"/>
      <c r="N49" s="145"/>
      <c r="O49" s="43"/>
      <c r="P49" s="145"/>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row>
    <row r="50" spans="1:68">
      <c r="A50" s="89"/>
      <c r="B50" s="124"/>
      <c r="C50" s="107"/>
      <c r="D50" s="119"/>
      <c r="E50" s="47"/>
      <c r="F50" s="98"/>
      <c r="G50" s="98"/>
      <c r="H50" s="98"/>
      <c r="I50" s="98"/>
      <c r="J50" s="98"/>
      <c r="K50" s="98"/>
      <c r="L50" s="98"/>
      <c r="M50" s="43"/>
      <c r="N50" s="145"/>
      <c r="O50" s="43"/>
      <c r="P50" s="145"/>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row>
    <row r="51" spans="1:68" ht="15.75">
      <c r="A51" s="125" t="s">
        <v>125</v>
      </c>
      <c r="B51" s="126" t="str">
        <f>B19</f>
        <v>One measure</v>
      </c>
      <c r="C51" s="127" t="str">
        <f>C19</f>
        <v>Group procurement of the measure</v>
      </c>
      <c r="D51" s="119"/>
      <c r="E51" s="47"/>
      <c r="F51" s="98"/>
      <c r="G51" s="98"/>
      <c r="H51" s="98"/>
      <c r="I51" s="98"/>
      <c r="J51" s="98"/>
      <c r="K51" s="98"/>
      <c r="L51" s="98"/>
      <c r="M51" s="43"/>
      <c r="N51" s="145"/>
      <c r="O51" s="43"/>
      <c r="P51" s="145"/>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row>
    <row r="52" spans="1:68">
      <c r="A52" s="128" t="s">
        <v>126</v>
      </c>
      <c r="B52" s="129">
        <v>0.03</v>
      </c>
      <c r="C52" s="130">
        <v>0.03</v>
      </c>
      <c r="D52" s="119"/>
      <c r="E52" s="47"/>
      <c r="F52" s="98"/>
      <c r="G52" s="98"/>
      <c r="H52" s="98"/>
      <c r="I52" s="98"/>
      <c r="J52" s="98"/>
      <c r="K52" s="98"/>
      <c r="L52" s="98"/>
      <c r="M52" s="43"/>
      <c r="N52" s="145"/>
      <c r="O52" s="43"/>
      <c r="P52" s="145"/>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row>
    <row r="53" spans="1:68">
      <c r="A53" s="89"/>
      <c r="B53" s="124"/>
      <c r="C53" s="107"/>
      <c r="D53" s="119"/>
      <c r="E53" s="47"/>
      <c r="F53" s="98"/>
      <c r="G53" s="98"/>
      <c r="H53" s="98"/>
      <c r="I53" s="98"/>
      <c r="J53" s="98"/>
      <c r="K53" s="98"/>
      <c r="L53" s="98"/>
      <c r="M53" s="43"/>
      <c r="N53" s="145"/>
      <c r="O53" s="43"/>
      <c r="P53" s="145"/>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row>
    <row r="54" spans="1:68">
      <c r="A54" s="128" t="s">
        <v>127</v>
      </c>
      <c r="B54" s="131">
        <v>0</v>
      </c>
      <c r="C54" s="132">
        <f>B54*C21</f>
        <v>0</v>
      </c>
      <c r="D54" s="119"/>
      <c r="E54" s="47"/>
      <c r="F54" s="98"/>
      <c r="G54" s="98"/>
      <c r="H54" s="98"/>
      <c r="I54" s="98"/>
      <c r="J54" s="98"/>
      <c r="K54" s="98"/>
      <c r="L54" s="98"/>
      <c r="M54" s="43"/>
      <c r="N54" s="145"/>
      <c r="O54" s="43"/>
      <c r="P54" s="145"/>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row>
    <row r="55" spans="1:68">
      <c r="A55" s="89"/>
      <c r="B55" s="124"/>
      <c r="C55" s="107"/>
      <c r="D55" s="119"/>
      <c r="E55" s="47"/>
      <c r="F55" s="98"/>
      <c r="G55" s="98"/>
      <c r="H55" s="98"/>
      <c r="I55" s="98"/>
      <c r="J55" s="98"/>
      <c r="K55" s="98"/>
      <c r="L55" s="98"/>
      <c r="M55" s="43"/>
      <c r="N55" s="145"/>
      <c r="O55" s="43"/>
      <c r="P55" s="145"/>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row>
    <row r="56" spans="1:68">
      <c r="A56" s="128" t="s">
        <v>128</v>
      </c>
      <c r="B56" s="133">
        <v>1.4999999999999999E-2</v>
      </c>
      <c r="C56" s="134">
        <v>1.4999999999999999E-2</v>
      </c>
      <c r="D56" s="119"/>
      <c r="E56" s="47"/>
      <c r="F56" s="98"/>
      <c r="G56" s="98"/>
      <c r="H56" s="98"/>
      <c r="I56" s="98"/>
      <c r="J56" s="98"/>
      <c r="K56" s="98"/>
      <c r="L56" s="98"/>
      <c r="M56" s="43"/>
      <c r="N56" s="145"/>
      <c r="O56" s="43"/>
      <c r="P56" s="145"/>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row>
    <row r="57" spans="1:68">
      <c r="A57" s="89"/>
      <c r="B57" s="124"/>
      <c r="C57" s="107"/>
      <c r="D57" s="119"/>
      <c r="E57" s="47"/>
      <c r="F57" s="98"/>
      <c r="G57" s="98"/>
      <c r="H57" s="98"/>
      <c r="I57" s="98"/>
      <c r="J57" s="98"/>
      <c r="K57" s="98"/>
      <c r="L57" s="98"/>
      <c r="M57" s="43"/>
      <c r="N57" s="145"/>
      <c r="O57" s="43"/>
      <c r="P57" s="145"/>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row>
    <row r="58" spans="1:68">
      <c r="A58" s="128" t="s">
        <v>129</v>
      </c>
      <c r="B58" s="120">
        <v>0.03</v>
      </c>
      <c r="C58" s="104">
        <v>0.03</v>
      </c>
      <c r="D58" s="119"/>
      <c r="E58" s="47"/>
      <c r="F58" s="98"/>
      <c r="G58" s="98"/>
      <c r="H58" s="98"/>
      <c r="I58" s="98"/>
      <c r="J58" s="98"/>
      <c r="K58" s="98"/>
      <c r="L58" s="98"/>
      <c r="M58" s="43"/>
      <c r="N58" s="145"/>
      <c r="O58" s="43"/>
      <c r="P58" s="145"/>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row>
    <row r="59" spans="1:68">
      <c r="A59" s="89"/>
      <c r="B59" s="106"/>
      <c r="C59" s="107"/>
      <c r="D59" s="119"/>
      <c r="E59" s="47"/>
      <c r="F59" s="98"/>
      <c r="G59" s="98"/>
      <c r="H59" s="98"/>
      <c r="I59" s="98"/>
      <c r="J59" s="98"/>
      <c r="K59" s="98"/>
      <c r="L59" s="98"/>
      <c r="M59" s="43"/>
      <c r="N59" s="145"/>
      <c r="O59" s="43"/>
      <c r="P59" s="145"/>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row>
    <row r="60" spans="1:68">
      <c r="A60" s="128" t="s">
        <v>130</v>
      </c>
      <c r="B60" s="120">
        <v>0.06</v>
      </c>
      <c r="C60" s="104">
        <v>0.06</v>
      </c>
      <c r="D60" s="119"/>
      <c r="E60" s="47"/>
      <c r="F60" s="98"/>
      <c r="G60" s="98"/>
      <c r="H60" s="98"/>
      <c r="I60" s="98"/>
      <c r="J60" s="98"/>
      <c r="K60" s="98"/>
      <c r="L60" s="98"/>
      <c r="M60" s="43"/>
      <c r="N60" s="145"/>
      <c r="O60" s="43"/>
      <c r="P60" s="145"/>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row>
    <row r="61" spans="1:68">
      <c r="A61" s="135"/>
      <c r="B61" s="136"/>
      <c r="C61" s="137"/>
      <c r="D61" s="119"/>
      <c r="E61" s="47"/>
      <c r="F61" s="98"/>
      <c r="G61" s="98"/>
      <c r="H61" s="98"/>
      <c r="I61" s="98"/>
      <c r="J61" s="98"/>
      <c r="K61" s="98"/>
      <c r="L61" s="98"/>
      <c r="M61" s="43"/>
      <c r="N61" s="145"/>
      <c r="O61" s="43"/>
      <c r="P61" s="145"/>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row>
    <row r="62" spans="1:68">
      <c r="A62" s="97"/>
      <c r="B62" s="90"/>
      <c r="C62" s="91"/>
      <c r="D62" s="119"/>
      <c r="E62" s="47"/>
      <c r="F62" s="98"/>
      <c r="G62" s="98"/>
      <c r="H62" s="98"/>
      <c r="I62" s="98"/>
      <c r="J62" s="98"/>
      <c r="K62" s="98"/>
      <c r="L62" s="98"/>
      <c r="M62" s="43"/>
      <c r="N62" s="145"/>
      <c r="O62" s="43"/>
      <c r="P62" s="145"/>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row>
    <row r="63" spans="1:68" ht="15.75">
      <c r="A63" s="138" t="s">
        <v>131</v>
      </c>
      <c r="B63" s="139" t="str">
        <f>B19</f>
        <v>One measure</v>
      </c>
      <c r="C63" s="139" t="str">
        <f>C19</f>
        <v>Group procurement of the measure</v>
      </c>
      <c r="D63" s="119"/>
      <c r="E63" s="47"/>
      <c r="F63" s="98"/>
      <c r="G63" s="98"/>
      <c r="H63" s="98"/>
      <c r="I63" s="98"/>
      <c r="J63" s="98"/>
      <c r="K63" s="98"/>
      <c r="L63" s="98"/>
      <c r="M63" s="43"/>
      <c r="N63" s="145"/>
      <c r="O63" s="43"/>
      <c r="P63" s="145"/>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row>
    <row r="64" spans="1:68">
      <c r="A64" s="140" t="s">
        <v>132</v>
      </c>
      <c r="B64" s="141">
        <v>6</v>
      </c>
      <c r="C64" s="141">
        <v>6</v>
      </c>
      <c r="D64" s="119"/>
      <c r="E64" s="47"/>
      <c r="F64" s="98"/>
      <c r="G64" s="98"/>
      <c r="H64" s="98"/>
      <c r="I64" s="98"/>
      <c r="J64" s="98"/>
      <c r="K64" s="98"/>
      <c r="L64" s="98"/>
      <c r="M64" s="43"/>
      <c r="N64" s="145"/>
      <c r="O64" s="43"/>
      <c r="P64" s="145"/>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row>
    <row r="65" spans="1:68">
      <c r="A65" s="97"/>
      <c r="B65" s="90"/>
      <c r="C65" s="91"/>
      <c r="D65" s="119"/>
      <c r="E65" s="47"/>
      <c r="F65" s="98"/>
      <c r="G65" s="98"/>
      <c r="H65" s="98"/>
      <c r="I65" s="98"/>
      <c r="J65" s="98"/>
      <c r="K65" s="98"/>
      <c r="L65" s="98"/>
      <c r="M65" s="43"/>
      <c r="N65" s="145"/>
      <c r="O65" s="43"/>
      <c r="P65" s="145"/>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row>
    <row r="66" spans="1:68">
      <c r="A66" s="140" t="s">
        <v>133</v>
      </c>
      <c r="B66" s="141">
        <v>0</v>
      </c>
      <c r="C66" s="147">
        <f>B66*C21</f>
        <v>0</v>
      </c>
      <c r="D66" s="105"/>
      <c r="E66" s="47"/>
      <c r="F66" s="98"/>
      <c r="G66" s="98"/>
      <c r="H66" s="98"/>
      <c r="I66" s="98"/>
      <c r="J66" s="98"/>
      <c r="K66" s="98"/>
      <c r="L66" s="98"/>
      <c r="M66" s="43"/>
      <c r="N66" s="145"/>
      <c r="O66" s="43"/>
      <c r="P66" s="145"/>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row>
    <row r="67" spans="1:68">
      <c r="A67" s="148"/>
      <c r="B67" s="149"/>
      <c r="C67" s="150"/>
      <c r="D67" s="105"/>
      <c r="E67" s="47"/>
      <c r="F67" s="98"/>
      <c r="G67" s="98"/>
      <c r="H67" s="98"/>
      <c r="I67" s="98"/>
      <c r="J67" s="98"/>
      <c r="K67" s="98"/>
      <c r="L67" s="98"/>
      <c r="M67" s="43"/>
      <c r="N67" s="145"/>
      <c r="O67" s="43"/>
      <c r="P67" s="145"/>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row>
    <row r="68" spans="1:68">
      <c r="A68" s="151" t="s">
        <v>134</v>
      </c>
      <c r="B68" s="152">
        <v>0.02</v>
      </c>
      <c r="C68" s="152">
        <v>0.02</v>
      </c>
      <c r="D68" s="105"/>
      <c r="E68" s="47"/>
      <c r="F68" s="98"/>
      <c r="G68" s="98"/>
      <c r="H68" s="98"/>
      <c r="I68" s="98"/>
      <c r="J68" s="98"/>
      <c r="K68" s="98"/>
      <c r="L68" s="98"/>
      <c r="M68" s="43"/>
      <c r="N68" s="145"/>
      <c r="O68" s="43"/>
      <c r="P68" s="145"/>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row>
    <row r="69" spans="1:68">
      <c r="A69" s="148"/>
      <c r="B69" s="149"/>
      <c r="C69" s="150"/>
      <c r="D69" s="105"/>
      <c r="E69" s="47"/>
      <c r="F69" s="98"/>
      <c r="G69" s="98"/>
      <c r="H69" s="98"/>
      <c r="I69" s="98"/>
      <c r="J69" s="98"/>
      <c r="K69" s="98"/>
      <c r="L69" s="98"/>
      <c r="M69" s="43"/>
      <c r="N69" s="145"/>
      <c r="O69" s="43"/>
      <c r="P69" s="145"/>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row>
    <row r="70" spans="1:68">
      <c r="A70" s="151" t="s">
        <v>135</v>
      </c>
      <c r="B70" s="152">
        <v>0.04</v>
      </c>
      <c r="C70" s="152">
        <v>0.04</v>
      </c>
      <c r="D70" s="105"/>
      <c r="E70" s="47"/>
      <c r="F70" s="98"/>
      <c r="G70" s="98"/>
      <c r="H70" s="98"/>
      <c r="I70" s="98"/>
      <c r="J70" s="98"/>
      <c r="K70" s="98"/>
      <c r="L70" s="98"/>
      <c r="M70" s="43"/>
      <c r="N70" s="145"/>
      <c r="O70" s="43"/>
      <c r="P70" s="145"/>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row>
    <row r="71" spans="1:68" s="5" customFormat="1">
      <c r="A71" s="153"/>
      <c r="B71" s="154"/>
      <c r="C71" s="155"/>
      <c r="D71" s="105"/>
      <c r="E71" s="47"/>
      <c r="F71" s="98"/>
      <c r="G71" s="98"/>
      <c r="H71" s="98"/>
      <c r="I71" s="98"/>
      <c r="J71" s="98"/>
      <c r="K71" s="98"/>
      <c r="L71" s="98"/>
      <c r="M71" s="43"/>
      <c r="N71" s="145"/>
      <c r="O71" s="43"/>
      <c r="P71" s="145"/>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row>
    <row r="72" spans="1:68" s="5" customFormat="1">
      <c r="A72" s="89"/>
      <c r="B72" s="90"/>
      <c r="C72" s="91"/>
      <c r="D72" s="105"/>
      <c r="E72" s="47"/>
      <c r="F72" s="98"/>
      <c r="G72" s="98"/>
      <c r="H72" s="98"/>
      <c r="I72" s="98"/>
      <c r="J72" s="98"/>
      <c r="K72" s="98"/>
      <c r="L72" s="98"/>
      <c r="M72" s="43"/>
      <c r="N72" s="145"/>
      <c r="O72" s="43"/>
      <c r="P72" s="145"/>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row>
    <row r="73" spans="1:68" s="5" customFormat="1" ht="18.75">
      <c r="A73" s="87" t="s">
        <v>136</v>
      </c>
      <c r="B73" s="88" t="str">
        <f>B19</f>
        <v>One measure</v>
      </c>
      <c r="C73" s="88" t="str">
        <f>C19</f>
        <v>Group procurement of the measure</v>
      </c>
      <c r="D73" s="105"/>
      <c r="E73" s="47"/>
      <c r="F73" s="98"/>
      <c r="G73" s="98"/>
      <c r="H73" s="98"/>
      <c r="I73" s="98"/>
      <c r="J73" s="98"/>
      <c r="K73" s="98"/>
      <c r="L73" s="98"/>
      <c r="M73" s="43"/>
      <c r="N73" s="145"/>
      <c r="O73" s="43"/>
      <c r="P73" s="145"/>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row>
    <row r="74" spans="1:68">
      <c r="A74" s="97"/>
      <c r="B74" s="90"/>
      <c r="C74" s="91"/>
      <c r="D74" s="105"/>
      <c r="E74" s="47"/>
      <c r="F74" s="98"/>
      <c r="G74" s="98"/>
      <c r="H74" s="98"/>
      <c r="I74" s="98"/>
      <c r="J74" s="98"/>
      <c r="K74" s="98"/>
      <c r="L74" s="98"/>
      <c r="M74" s="43"/>
      <c r="N74" s="145"/>
      <c r="O74" s="43"/>
      <c r="P74" s="145"/>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row>
    <row r="75" spans="1:68">
      <c r="A75" s="156" t="s">
        <v>137</v>
      </c>
      <c r="B75" s="99">
        <v>184000</v>
      </c>
      <c r="C75" s="99">
        <v>700000</v>
      </c>
      <c r="D75" s="119"/>
      <c r="E75" s="47"/>
      <c r="F75" s="98"/>
      <c r="G75" s="98"/>
      <c r="H75" s="98"/>
      <c r="I75" s="98"/>
      <c r="J75" s="98"/>
      <c r="K75" s="98"/>
      <c r="L75" s="98"/>
      <c r="M75" s="43"/>
      <c r="N75" s="145"/>
      <c r="O75" s="43"/>
      <c r="P75" s="145"/>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row>
    <row r="76" spans="1:68" s="5" customFormat="1">
      <c r="A76" s="89"/>
      <c r="B76" s="157"/>
      <c r="C76" s="158"/>
      <c r="D76" s="105"/>
      <c r="E76" s="47"/>
      <c r="F76" s="98"/>
      <c r="G76" s="98"/>
      <c r="H76" s="98"/>
      <c r="I76" s="98"/>
      <c r="J76" s="98"/>
      <c r="K76" s="98"/>
      <c r="L76" s="98"/>
      <c r="M76" s="43"/>
      <c r="N76" s="145"/>
      <c r="O76" s="43"/>
      <c r="P76" s="145"/>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row>
    <row r="77" spans="1:68">
      <c r="A77" s="156" t="s">
        <v>138</v>
      </c>
      <c r="B77" s="159">
        <v>0.01</v>
      </c>
      <c r="C77" s="159">
        <v>0.01</v>
      </c>
      <c r="D77" s="105"/>
      <c r="E77" s="47"/>
      <c r="F77" s="98"/>
      <c r="G77" s="98"/>
      <c r="H77" s="98"/>
      <c r="I77" s="98"/>
      <c r="J77" s="98"/>
      <c r="K77" s="98"/>
      <c r="L77" s="98"/>
      <c r="M77" s="43"/>
      <c r="N77" s="145"/>
      <c r="O77" s="43"/>
      <c r="P77" s="145"/>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row>
    <row r="78" spans="1:68">
      <c r="A78" s="97"/>
      <c r="B78" s="157"/>
      <c r="C78" s="158"/>
      <c r="D78" s="105"/>
      <c r="E78" s="47"/>
      <c r="F78" s="98"/>
      <c r="G78" s="98"/>
      <c r="H78" s="98"/>
      <c r="I78" s="98"/>
      <c r="J78" s="98"/>
      <c r="K78" s="98"/>
      <c r="L78" s="98"/>
      <c r="M78" s="43"/>
      <c r="N78" s="145"/>
      <c r="O78" s="43"/>
      <c r="P78" s="145"/>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row>
    <row r="79" spans="1:68">
      <c r="A79" s="156" t="s">
        <v>139</v>
      </c>
      <c r="B79" s="159">
        <v>0.15</v>
      </c>
      <c r="C79" s="159">
        <v>0.15</v>
      </c>
      <c r="D79" s="105"/>
      <c r="E79" s="47"/>
      <c r="F79" s="98"/>
      <c r="G79" s="98"/>
      <c r="H79" s="98"/>
      <c r="I79" s="98"/>
      <c r="J79" s="98"/>
      <c r="K79" s="98"/>
      <c r="L79" s="98"/>
      <c r="M79" s="43"/>
      <c r="N79" s="145"/>
      <c r="O79" s="43"/>
      <c r="P79" s="145"/>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row>
    <row r="80" spans="1:68">
      <c r="A80" s="102"/>
      <c r="B80" s="160"/>
      <c r="C80" s="161"/>
      <c r="D80" s="105"/>
      <c r="E80" s="47"/>
      <c r="F80" s="98"/>
      <c r="G80" s="98"/>
      <c r="H80" s="98"/>
      <c r="I80" s="98"/>
      <c r="J80" s="98"/>
      <c r="K80" s="98"/>
      <c r="L80" s="98"/>
      <c r="M80" s="43"/>
      <c r="N80" s="145"/>
      <c r="O80" s="43"/>
      <c r="P80" s="145"/>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row>
    <row r="81" spans="1:68">
      <c r="A81" s="156" t="s">
        <v>140</v>
      </c>
      <c r="B81" s="159">
        <v>0.02</v>
      </c>
      <c r="C81" s="159">
        <v>0.02</v>
      </c>
      <c r="D81" s="105"/>
      <c r="E81" s="47"/>
      <c r="F81" s="98"/>
      <c r="G81" s="98"/>
      <c r="H81" s="98"/>
      <c r="I81" s="98"/>
      <c r="J81" s="98"/>
      <c r="K81" s="98"/>
      <c r="L81" s="98"/>
      <c r="M81" s="43"/>
      <c r="N81" s="145"/>
      <c r="O81" s="43"/>
      <c r="P81" s="145"/>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row>
    <row r="82" spans="1:68">
      <c r="A82" s="89"/>
      <c r="B82" s="124"/>
      <c r="C82" s="107"/>
      <c r="D82" s="105"/>
      <c r="E82" s="47"/>
      <c r="F82" s="98"/>
      <c r="G82" s="98"/>
      <c r="H82" s="98"/>
      <c r="I82" s="98"/>
      <c r="J82" s="98"/>
      <c r="K82" s="98"/>
      <c r="L82" s="98"/>
      <c r="M82" s="43"/>
      <c r="N82" s="145"/>
      <c r="O82" s="43"/>
      <c r="P82" s="145"/>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row>
    <row r="83" spans="1:68">
      <c r="A83" s="156" t="s">
        <v>141</v>
      </c>
      <c r="B83" s="159">
        <v>0.04</v>
      </c>
      <c r="C83" s="159">
        <v>0.04</v>
      </c>
      <c r="D83" s="105"/>
      <c r="E83" s="47"/>
      <c r="F83" s="98"/>
      <c r="G83" s="98"/>
      <c r="H83" s="98"/>
      <c r="I83" s="98"/>
      <c r="J83" s="98"/>
      <c r="K83" s="98"/>
      <c r="L83" s="98"/>
      <c r="M83" s="43"/>
      <c r="N83" s="145"/>
      <c r="O83" s="43"/>
      <c r="P83" s="145"/>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row>
    <row r="84" spans="1:68">
      <c r="A84" s="97"/>
      <c r="B84" s="90"/>
      <c r="C84" s="91"/>
      <c r="D84" s="105"/>
      <c r="E84" s="47"/>
      <c r="F84" s="98"/>
      <c r="G84" s="98"/>
      <c r="H84" s="98"/>
      <c r="I84" s="98"/>
      <c r="J84" s="98"/>
      <c r="K84" s="98"/>
      <c r="L84" s="98"/>
      <c r="M84" s="43"/>
      <c r="N84" s="145"/>
      <c r="O84" s="43"/>
      <c r="P84" s="145"/>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row>
    <row r="85" spans="1:68" ht="18.75">
      <c r="A85" s="162" t="s">
        <v>142</v>
      </c>
      <c r="B85" s="163" t="str">
        <f>B19</f>
        <v>One measure</v>
      </c>
      <c r="C85" s="163" t="str">
        <f>C19</f>
        <v>Group procurement of the measure</v>
      </c>
      <c r="D85" s="103"/>
      <c r="E85" s="47"/>
      <c r="F85" s="98"/>
      <c r="G85" s="98"/>
      <c r="H85" s="98"/>
      <c r="I85" s="98"/>
      <c r="J85" s="98"/>
      <c r="K85" s="98"/>
      <c r="L85" s="98"/>
      <c r="M85" s="43"/>
      <c r="N85" s="145"/>
      <c r="O85" s="43"/>
      <c r="P85" s="145"/>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row>
    <row r="86" spans="1:68">
      <c r="A86" s="97"/>
      <c r="B86" s="70"/>
      <c r="C86" s="71"/>
      <c r="D86" s="105"/>
      <c r="E86" s="47"/>
      <c r="F86" s="98"/>
      <c r="G86" s="98"/>
      <c r="H86" s="98"/>
      <c r="I86" s="98"/>
      <c r="J86" s="98"/>
      <c r="K86" s="98"/>
      <c r="L86" s="98"/>
      <c r="M86" s="43"/>
      <c r="N86" s="145"/>
      <c r="O86" s="43"/>
      <c r="P86" s="145"/>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row>
    <row r="87" spans="1:68">
      <c r="A87" s="156" t="s">
        <v>143</v>
      </c>
      <c r="B87" s="164">
        <v>-82</v>
      </c>
      <c r="C87" s="84">
        <f>B87*C21</f>
        <v>-410</v>
      </c>
      <c r="D87" s="105"/>
      <c r="E87" s="47"/>
      <c r="F87" s="98"/>
      <c r="G87" s="98"/>
      <c r="H87" s="98"/>
      <c r="I87" s="98"/>
      <c r="J87" s="98"/>
      <c r="K87" s="98"/>
      <c r="L87" s="98"/>
      <c r="M87" s="43"/>
      <c r="N87" s="145"/>
      <c r="O87" s="43"/>
      <c r="P87" s="145"/>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row>
    <row r="88" spans="1:68">
      <c r="A88" s="97"/>
      <c r="B88" s="90"/>
      <c r="C88" s="91"/>
      <c r="D88" s="165"/>
      <c r="E88" s="47"/>
      <c r="F88" s="98"/>
      <c r="G88" s="98"/>
      <c r="H88" s="98"/>
      <c r="I88" s="98"/>
      <c r="J88" s="98"/>
      <c r="K88" s="98"/>
      <c r="L88" s="98"/>
      <c r="M88" s="43"/>
      <c r="N88" s="145"/>
      <c r="O88" s="43"/>
      <c r="P88" s="145"/>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row>
    <row r="89" spans="1:68">
      <c r="A89" s="166" t="s">
        <v>144</v>
      </c>
      <c r="B89" s="134">
        <v>100</v>
      </c>
      <c r="C89" s="134">
        <v>100</v>
      </c>
      <c r="D89" s="105"/>
      <c r="E89" s="47"/>
      <c r="F89" s="98"/>
      <c r="G89" s="98"/>
      <c r="H89" s="98"/>
      <c r="I89" s="98"/>
      <c r="J89" s="98"/>
      <c r="K89" s="98"/>
      <c r="L89" s="98"/>
      <c r="M89" s="142"/>
      <c r="N89" s="145"/>
      <c r="O89" s="43"/>
      <c r="P89" s="145"/>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row>
    <row r="90" spans="1:68">
      <c r="A90" s="167"/>
      <c r="B90" s="168"/>
      <c r="C90" s="169"/>
      <c r="D90" s="105"/>
      <c r="E90" s="47"/>
      <c r="F90" s="98"/>
      <c r="G90" s="98"/>
      <c r="H90" s="98"/>
      <c r="I90" s="98"/>
      <c r="J90" s="98"/>
      <c r="K90" s="98"/>
      <c r="L90" s="98"/>
      <c r="M90" s="142"/>
      <c r="N90" s="145"/>
      <c r="O90" s="43"/>
      <c r="P90" s="145"/>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row>
    <row r="91" spans="1:68" ht="21">
      <c r="A91" s="170" t="s">
        <v>145</v>
      </c>
      <c r="B91" s="171"/>
      <c r="C91" s="172"/>
      <c r="D91" s="119"/>
      <c r="E91" s="47"/>
      <c r="F91" s="173"/>
      <c r="G91" s="173"/>
      <c r="H91" s="173"/>
      <c r="I91" s="173"/>
      <c r="J91" s="173"/>
      <c r="K91" s="173"/>
      <c r="L91" s="173"/>
      <c r="M91" s="43"/>
      <c r="N91" s="145"/>
      <c r="O91" s="43"/>
      <c r="P91" s="145"/>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row>
    <row r="92" spans="1:68">
      <c r="A92" s="97"/>
      <c r="B92" s="70"/>
      <c r="C92" s="71"/>
      <c r="D92" s="119"/>
      <c r="E92" s="47"/>
      <c r="F92" s="173"/>
      <c r="G92" s="173"/>
      <c r="H92" s="173"/>
      <c r="I92" s="173"/>
      <c r="J92" s="173"/>
      <c r="K92" s="173"/>
      <c r="L92" s="173"/>
      <c r="M92" s="43"/>
      <c r="N92" s="145"/>
      <c r="O92" s="43"/>
      <c r="P92" s="145"/>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row>
    <row r="93" spans="1:68" ht="18.75">
      <c r="A93" s="174" t="s">
        <v>146</v>
      </c>
      <c r="B93" s="175" t="str">
        <f>B19</f>
        <v>One measure</v>
      </c>
      <c r="C93" s="176" t="str">
        <f>C19</f>
        <v>Group procurement of the measure</v>
      </c>
      <c r="D93" s="119"/>
      <c r="E93" s="47"/>
      <c r="F93" s="173"/>
      <c r="G93" s="173"/>
      <c r="H93" s="173"/>
      <c r="I93" s="173"/>
      <c r="J93" s="173"/>
      <c r="K93" s="173"/>
      <c r="L93" s="173"/>
      <c r="M93" s="43"/>
      <c r="N93" s="145"/>
      <c r="O93" s="43"/>
      <c r="P93" s="145"/>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row>
    <row r="94" spans="1:68">
      <c r="A94" s="177"/>
      <c r="B94" s="178"/>
      <c r="C94" s="179"/>
      <c r="D94" s="119"/>
      <c r="E94" s="47"/>
      <c r="F94" s="173"/>
      <c r="G94" s="173"/>
      <c r="H94" s="173"/>
      <c r="I94" s="173"/>
      <c r="J94" s="173"/>
      <c r="K94" s="173"/>
      <c r="L94" s="173"/>
      <c r="M94" s="43"/>
      <c r="N94" s="145"/>
      <c r="O94" s="43"/>
      <c r="P94" s="145"/>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row>
    <row r="95" spans="1:68">
      <c r="A95" s="180" t="s">
        <v>147</v>
      </c>
      <c r="B95" s="181">
        <f>-B42*B40</f>
        <v>11700</v>
      </c>
      <c r="C95" s="181">
        <f>-C42*C40</f>
        <v>58500</v>
      </c>
      <c r="D95" s="119"/>
      <c r="E95" s="47"/>
      <c r="F95" s="173"/>
      <c r="G95" s="173"/>
      <c r="H95" s="173"/>
      <c r="I95" s="173"/>
      <c r="J95" s="173"/>
      <c r="K95" s="173"/>
      <c r="L95" s="173"/>
      <c r="M95" s="43"/>
      <c r="N95" s="145"/>
      <c r="O95" s="43"/>
      <c r="P95" s="145"/>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row>
    <row r="96" spans="1:68" s="5" customFormat="1">
      <c r="A96" s="89"/>
      <c r="B96" s="157"/>
      <c r="C96" s="158"/>
      <c r="D96" s="119"/>
      <c r="E96" s="47"/>
      <c r="F96" s="173"/>
      <c r="G96" s="173"/>
      <c r="H96" s="173"/>
      <c r="I96" s="173"/>
      <c r="J96" s="173"/>
      <c r="K96" s="173"/>
      <c r="L96" s="173"/>
      <c r="M96" s="43"/>
      <c r="N96" s="145"/>
      <c r="O96" s="43"/>
      <c r="P96" s="145"/>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row>
    <row r="97" spans="1:68">
      <c r="A97" s="180" t="s">
        <v>148</v>
      </c>
      <c r="B97" s="182">
        <f>-B30*B28</f>
        <v>-240</v>
      </c>
      <c r="C97" s="181">
        <f>-C30*C28</f>
        <v>-1200</v>
      </c>
      <c r="D97" s="119"/>
      <c r="E97" s="47"/>
      <c r="F97" s="173"/>
      <c r="G97" s="173"/>
      <c r="H97" s="173"/>
      <c r="I97" s="173"/>
      <c r="J97" s="173"/>
      <c r="K97" s="173"/>
      <c r="L97" s="173"/>
      <c r="M97" s="43"/>
      <c r="N97" s="145"/>
      <c r="O97" s="43"/>
      <c r="P97" s="145"/>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row>
    <row r="98" spans="1:68">
      <c r="A98" s="89"/>
      <c r="B98" s="90"/>
      <c r="C98" s="91"/>
      <c r="D98" s="119"/>
      <c r="E98" s="47"/>
      <c r="F98" s="173"/>
      <c r="G98" s="173"/>
      <c r="H98" s="173"/>
      <c r="I98" s="173"/>
      <c r="J98" s="173"/>
      <c r="K98" s="173"/>
      <c r="L98" s="173"/>
      <c r="M98" s="43"/>
      <c r="N98" s="145"/>
      <c r="O98" s="43"/>
      <c r="P98" s="145"/>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row>
    <row r="99" spans="1:68">
      <c r="A99" s="180" t="s">
        <v>149</v>
      </c>
      <c r="B99" s="183">
        <f>-B52*B54</f>
        <v>0</v>
      </c>
      <c r="C99" s="182">
        <f>-C52*C54</f>
        <v>0</v>
      </c>
      <c r="D99" s="47"/>
      <c r="E99" s="47"/>
      <c r="F99" s="173"/>
      <c r="G99" s="173"/>
      <c r="H99" s="173"/>
      <c r="I99" s="173"/>
      <c r="J99" s="173"/>
      <c r="K99" s="173"/>
      <c r="L99" s="17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row>
    <row r="100" spans="1:68">
      <c r="A100" s="89"/>
      <c r="B100" s="184"/>
      <c r="C100" s="185"/>
      <c r="D100" s="47"/>
      <c r="E100" s="47"/>
      <c r="F100" s="173"/>
      <c r="G100" s="173"/>
      <c r="H100" s="173"/>
      <c r="I100" s="173"/>
      <c r="J100" s="173"/>
      <c r="K100" s="173"/>
      <c r="L100" s="17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row>
    <row r="101" spans="1:68">
      <c r="A101" s="180" t="s">
        <v>150</v>
      </c>
      <c r="B101" s="181">
        <f>B95+B97+B99</f>
        <v>11460</v>
      </c>
      <c r="C101" s="181">
        <f>C95+C97+C99</f>
        <v>57300</v>
      </c>
      <c r="D101" s="47"/>
      <c r="E101" s="47"/>
      <c r="F101" s="173"/>
      <c r="G101" s="173"/>
      <c r="H101" s="173"/>
      <c r="I101" s="173"/>
      <c r="J101" s="173"/>
      <c r="K101" s="173"/>
      <c r="L101" s="17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row>
    <row r="102" spans="1:68">
      <c r="A102" s="90"/>
      <c r="B102" s="186"/>
      <c r="C102" s="187"/>
      <c r="D102" s="47"/>
      <c r="E102" s="47"/>
      <c r="F102" s="173"/>
      <c r="G102" s="173"/>
      <c r="H102" s="173"/>
      <c r="I102" s="173"/>
      <c r="J102" s="173"/>
      <c r="K102" s="173"/>
      <c r="L102" s="17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row>
    <row r="103" spans="1:68">
      <c r="A103" s="188" t="s">
        <v>151</v>
      </c>
      <c r="B103" s="189">
        <f>-B64*B66</f>
        <v>0</v>
      </c>
      <c r="C103" s="189">
        <f>-C64*C66</f>
        <v>0</v>
      </c>
      <c r="D103" s="103"/>
      <c r="E103" s="47"/>
      <c r="F103" s="98"/>
      <c r="G103" s="98"/>
      <c r="H103" s="98"/>
      <c r="I103" s="98"/>
      <c r="J103" s="173"/>
      <c r="K103" s="173"/>
      <c r="L103" s="17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row>
    <row r="104" spans="1:68">
      <c r="A104" s="90"/>
      <c r="B104" s="90"/>
      <c r="C104" s="91"/>
      <c r="D104" s="103"/>
      <c r="E104" s="47"/>
      <c r="F104" s="98"/>
      <c r="G104" s="98"/>
      <c r="H104" s="98"/>
      <c r="I104" s="98"/>
      <c r="J104" s="173"/>
      <c r="K104" s="173"/>
      <c r="L104" s="17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row>
    <row r="105" spans="1:68">
      <c r="A105" s="180" t="s">
        <v>152</v>
      </c>
      <c r="B105" s="181">
        <f>B23*(B101+B103)</f>
        <v>229200</v>
      </c>
      <c r="C105" s="181">
        <f>C23*(C101+C103)</f>
        <v>1146000</v>
      </c>
      <c r="D105" s="105"/>
      <c r="E105" s="47"/>
      <c r="F105" s="98"/>
      <c r="G105" s="98"/>
      <c r="H105" s="98"/>
      <c r="I105" s="98"/>
      <c r="J105" s="173"/>
      <c r="K105" s="173"/>
      <c r="L105" s="17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row>
    <row r="106" spans="1:68">
      <c r="A106" s="89"/>
      <c r="B106" s="186"/>
      <c r="C106" s="187"/>
      <c r="D106" s="105"/>
      <c r="E106" s="47"/>
      <c r="F106" s="98"/>
      <c r="G106" s="98"/>
      <c r="H106" s="98"/>
      <c r="I106" s="98"/>
      <c r="J106" s="173"/>
      <c r="K106" s="173"/>
      <c r="L106" s="17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row>
    <row r="107" spans="1:68" s="5" customFormat="1">
      <c r="A107" s="97"/>
      <c r="B107" s="70"/>
      <c r="C107" s="71"/>
      <c r="D107" s="190"/>
      <c r="E107" s="47"/>
      <c r="F107" s="98"/>
      <c r="G107" s="98"/>
      <c r="H107" s="98"/>
      <c r="I107" s="98"/>
      <c r="J107" s="173"/>
      <c r="K107" s="173"/>
      <c r="L107" s="17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row>
    <row r="108" spans="1:68" ht="18.75">
      <c r="A108" s="174" t="s">
        <v>153</v>
      </c>
      <c r="B108" s="191" t="str">
        <f>B19</f>
        <v>One measure</v>
      </c>
      <c r="C108" s="191" t="str">
        <f>C19</f>
        <v>Group procurement of the measure</v>
      </c>
      <c r="D108" s="105"/>
      <c r="E108" s="47"/>
      <c r="F108" s="98"/>
      <c r="G108" s="98"/>
      <c r="H108" s="98"/>
      <c r="I108" s="98"/>
      <c r="J108" s="173"/>
      <c r="K108" s="173"/>
      <c r="L108" s="17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row>
    <row r="109" spans="1:68">
      <c r="A109" s="97"/>
      <c r="B109" s="70"/>
      <c r="C109" s="71"/>
      <c r="D109" s="105"/>
      <c r="E109" s="47"/>
      <c r="F109" s="98"/>
      <c r="G109" s="98"/>
      <c r="H109" s="98"/>
      <c r="I109" s="98"/>
      <c r="J109" s="173"/>
      <c r="K109" s="173"/>
      <c r="L109" s="17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row>
    <row r="110" spans="1:68">
      <c r="A110" s="188" t="s">
        <v>154</v>
      </c>
      <c r="B110" s="189">
        <f>(1-B79)*B75</f>
        <v>156400</v>
      </c>
      <c r="C110" s="189">
        <f>(1-C79)*C75</f>
        <v>595000</v>
      </c>
      <c r="D110" s="105"/>
      <c r="E110" s="47"/>
      <c r="F110" s="98"/>
      <c r="G110" s="98"/>
      <c r="H110" s="98"/>
      <c r="I110" s="98"/>
      <c r="J110" s="173"/>
      <c r="K110" s="173"/>
      <c r="L110" s="17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row>
    <row r="111" spans="1:68">
      <c r="A111" s="97"/>
      <c r="B111" s="70"/>
      <c r="C111" s="71"/>
      <c r="D111" s="105"/>
      <c r="E111" s="47"/>
      <c r="F111" s="98"/>
      <c r="G111" s="98"/>
      <c r="H111" s="98"/>
      <c r="I111" s="98"/>
      <c r="J111" s="173"/>
      <c r="K111" s="173"/>
      <c r="L111" s="17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row>
    <row r="112" spans="1:68">
      <c r="A112" s="180" t="s">
        <v>155</v>
      </c>
      <c r="B112" s="181">
        <f>B77*B75</f>
        <v>1840</v>
      </c>
      <c r="C112" s="181">
        <f>C77*C75</f>
        <v>7000</v>
      </c>
      <c r="D112" s="190"/>
      <c r="E112" s="47"/>
      <c r="F112" s="98"/>
      <c r="G112" s="98"/>
      <c r="H112" s="98"/>
      <c r="I112" s="98"/>
      <c r="J112" s="98"/>
      <c r="K112" s="98"/>
      <c r="L112" s="98"/>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row>
    <row r="113" spans="1:68">
      <c r="A113" s="97"/>
      <c r="B113" s="157"/>
      <c r="C113" s="158"/>
      <c r="D113" s="105"/>
      <c r="E113" s="47"/>
      <c r="F113" s="98"/>
      <c r="G113" s="98"/>
      <c r="H113" s="98"/>
      <c r="I113" s="98"/>
      <c r="J113" s="173"/>
      <c r="K113" s="173"/>
      <c r="L113" s="17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row>
    <row r="114" spans="1:68">
      <c r="A114" s="180" t="s">
        <v>156</v>
      </c>
      <c r="B114" s="181">
        <f>B110+(B23*B112)</f>
        <v>193200</v>
      </c>
      <c r="C114" s="181">
        <f>C110+(C23*C112)</f>
        <v>735000</v>
      </c>
      <c r="D114" s="47"/>
      <c r="E114" s="47"/>
      <c r="F114" s="173"/>
      <c r="G114" s="173"/>
      <c r="H114" s="173"/>
      <c r="I114" s="173"/>
      <c r="J114" s="173"/>
      <c r="K114" s="173"/>
      <c r="L114" s="17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row>
    <row r="115" spans="1:68">
      <c r="A115" s="89"/>
      <c r="B115" s="186"/>
      <c r="C115" s="187"/>
      <c r="D115" s="47"/>
      <c r="E115" s="47"/>
      <c r="F115" s="173"/>
      <c r="G115" s="173"/>
      <c r="H115" s="173"/>
      <c r="I115" s="173"/>
      <c r="J115" s="173"/>
      <c r="K115" s="173"/>
      <c r="L115" s="17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row>
    <row r="116" spans="1:68">
      <c r="A116" s="89"/>
      <c r="B116" s="186"/>
      <c r="C116" s="187"/>
      <c r="D116" s="47"/>
      <c r="E116" s="47"/>
      <c r="F116" s="173"/>
      <c r="G116" s="173"/>
      <c r="H116" s="173"/>
      <c r="I116" s="173"/>
      <c r="J116" s="173"/>
      <c r="K116" s="173"/>
      <c r="L116" s="17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row>
    <row r="117" spans="1:68" ht="18.75">
      <c r="A117" s="174" t="s">
        <v>157</v>
      </c>
      <c r="B117" s="191" t="str">
        <f>B19</f>
        <v>One measure</v>
      </c>
      <c r="C117" s="191" t="str">
        <f>C19</f>
        <v>Group procurement of the measure</v>
      </c>
      <c r="D117" s="105"/>
      <c r="E117" s="47"/>
      <c r="F117" s="98"/>
      <c r="G117" s="98"/>
      <c r="H117" s="98"/>
      <c r="I117" s="98"/>
      <c r="J117" s="173"/>
      <c r="K117" s="173"/>
      <c r="L117" s="17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row>
    <row r="118" spans="1:68" ht="18.75">
      <c r="A118" s="192"/>
      <c r="B118" s="70"/>
      <c r="C118" s="71"/>
      <c r="D118" s="105"/>
      <c r="E118" s="47"/>
      <c r="F118" s="98"/>
      <c r="G118" s="98"/>
      <c r="H118" s="98"/>
      <c r="I118" s="98"/>
      <c r="J118" s="173"/>
      <c r="K118" s="173"/>
      <c r="L118" s="17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row>
    <row r="119" spans="1:68">
      <c r="A119" s="180" t="s">
        <v>158</v>
      </c>
      <c r="B119" s="181">
        <f>B105-B114</f>
        <v>36000</v>
      </c>
      <c r="C119" s="181">
        <f>C105-C114</f>
        <v>411000</v>
      </c>
      <c r="D119" s="105"/>
      <c r="E119" s="47"/>
      <c r="F119" s="98"/>
      <c r="G119" s="98"/>
      <c r="H119" s="98"/>
      <c r="I119" s="98"/>
      <c r="J119" s="173"/>
      <c r="K119" s="173"/>
      <c r="L119" s="17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row>
    <row r="120" spans="1:68">
      <c r="A120" s="89"/>
      <c r="B120" s="186"/>
      <c r="C120" s="187"/>
      <c r="D120" s="105"/>
      <c r="E120" s="47"/>
      <c r="F120" s="98"/>
      <c r="G120" s="98"/>
      <c r="H120" s="98"/>
      <c r="I120" s="98"/>
      <c r="J120" s="173"/>
      <c r="K120" s="173"/>
      <c r="L120" s="17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row>
    <row r="121" spans="1:68">
      <c r="A121" s="97"/>
      <c r="B121" s="90"/>
      <c r="C121" s="91"/>
      <c r="D121" s="47"/>
      <c r="E121" s="47"/>
      <c r="F121" s="173"/>
      <c r="G121" s="173"/>
      <c r="H121" s="173"/>
      <c r="I121" s="173"/>
      <c r="J121" s="173"/>
      <c r="K121" s="173"/>
      <c r="L121" s="17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row>
    <row r="122" spans="1:68" ht="18.75">
      <c r="A122" s="174" t="s">
        <v>159</v>
      </c>
      <c r="B122" s="193" t="str">
        <f>B19</f>
        <v>One measure</v>
      </c>
      <c r="C122" s="193" t="str">
        <f>C19</f>
        <v>Group procurement of the measure</v>
      </c>
      <c r="D122" s="47"/>
      <c r="E122" s="47"/>
      <c r="F122" s="173"/>
      <c r="G122" s="173"/>
      <c r="H122" s="173"/>
      <c r="I122" s="173"/>
      <c r="J122" s="173"/>
      <c r="K122" s="173"/>
      <c r="L122" s="17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row>
    <row r="123" spans="1:68">
      <c r="A123" s="102"/>
      <c r="B123" s="157"/>
      <c r="C123" s="158"/>
      <c r="D123" s="47"/>
      <c r="E123" s="47"/>
      <c r="F123" s="173"/>
      <c r="G123" s="173"/>
      <c r="H123" s="173"/>
      <c r="I123" s="173"/>
      <c r="J123" s="173"/>
      <c r="K123" s="173"/>
      <c r="L123" s="17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row>
    <row r="124" spans="1:68">
      <c r="A124" s="180" t="s">
        <v>160</v>
      </c>
      <c r="B124" s="181">
        <f>-((B42*B44)+(B30*B32)+(B54*B56))</f>
        <v>20400</v>
      </c>
      <c r="C124" s="181">
        <f>-((C42*C44)+(C30*C32)+(C54*C56))</f>
        <v>102000</v>
      </c>
      <c r="D124" s="47"/>
      <c r="E124" s="47"/>
      <c r="F124" s="173"/>
      <c r="G124" s="173"/>
      <c r="H124" s="173"/>
      <c r="I124" s="173"/>
      <c r="J124" s="173"/>
      <c r="K124" s="173"/>
      <c r="L124" s="17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row>
    <row r="125" spans="1:68">
      <c r="A125" s="194"/>
      <c r="B125" s="195"/>
      <c r="C125" s="196"/>
      <c r="D125" s="47"/>
      <c r="E125" s="47"/>
      <c r="F125" s="173"/>
      <c r="G125" s="173"/>
      <c r="H125" s="173"/>
      <c r="I125" s="173"/>
      <c r="J125" s="173"/>
      <c r="K125" s="173"/>
      <c r="L125" s="17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row>
    <row r="126" spans="1:68">
      <c r="A126" s="180" t="s">
        <v>59</v>
      </c>
      <c r="B126" s="197">
        <f>-((B30*B32)+(B42*B44)+(B54*B56))/((B13*B32)+(B14*B44)+(B15*B56))</f>
        <v>0.15692307692307692</v>
      </c>
      <c r="C126" s="197">
        <f>-((C30*C32)+(C42*C44)+(C54*C56))/((B13*C32)+(B14*C44)+(B15*C56))</f>
        <v>0.7846153846153846</v>
      </c>
      <c r="D126" s="47"/>
      <c r="E126" s="47"/>
      <c r="F126" s="173"/>
      <c r="G126" s="173"/>
      <c r="H126" s="173"/>
      <c r="I126" s="173"/>
      <c r="J126" s="173"/>
      <c r="K126" s="173"/>
      <c r="L126" s="17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row>
    <row r="127" spans="1:68">
      <c r="A127" s="97"/>
      <c r="B127" s="157"/>
      <c r="C127" s="91"/>
      <c r="D127" s="47"/>
      <c r="E127" s="47"/>
      <c r="F127" s="173"/>
      <c r="G127" s="173"/>
      <c r="H127" s="173"/>
      <c r="I127" s="173"/>
      <c r="J127" s="173"/>
      <c r="K127" s="173"/>
      <c r="L127" s="17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row>
    <row r="128" spans="1:68">
      <c r="A128" s="180" t="s">
        <v>161</v>
      </c>
      <c r="B128" s="181">
        <f>B23*B124</f>
        <v>408000</v>
      </c>
      <c r="C128" s="181">
        <f>C23*C124</f>
        <v>2040000</v>
      </c>
      <c r="D128" s="47"/>
      <c r="E128" s="47"/>
      <c r="F128" s="173"/>
      <c r="G128" s="173"/>
      <c r="H128" s="173"/>
      <c r="I128" s="173"/>
      <c r="J128" s="173"/>
      <c r="K128" s="173"/>
      <c r="L128" s="17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row>
    <row r="129" spans="1:68">
      <c r="A129" s="89"/>
      <c r="B129" s="186"/>
      <c r="C129" s="187"/>
      <c r="D129" s="47"/>
      <c r="E129" s="47"/>
      <c r="F129" s="173"/>
      <c r="G129" s="173"/>
      <c r="H129" s="173"/>
      <c r="I129" s="173"/>
      <c r="J129" s="173"/>
      <c r="K129" s="173"/>
      <c r="L129" s="17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row>
    <row r="130" spans="1:68">
      <c r="A130" s="89"/>
      <c r="B130" s="198"/>
      <c r="C130" s="158"/>
      <c r="D130" s="47"/>
      <c r="E130" s="47"/>
      <c r="F130" s="173"/>
      <c r="G130" s="173"/>
      <c r="H130" s="173"/>
      <c r="I130" s="173"/>
      <c r="J130" s="173"/>
      <c r="K130" s="173"/>
      <c r="L130" s="17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row>
    <row r="131" spans="1:68" ht="18.75">
      <c r="A131" s="174" t="s">
        <v>162</v>
      </c>
      <c r="B131" s="199" t="str">
        <f>B19</f>
        <v>One measure</v>
      </c>
      <c r="C131" s="193" t="str">
        <f>C19</f>
        <v>Group procurement of the measure</v>
      </c>
      <c r="D131" s="47"/>
      <c r="E131" s="47"/>
      <c r="F131" s="173"/>
      <c r="G131" s="173"/>
      <c r="H131" s="173"/>
      <c r="I131" s="173"/>
      <c r="J131" s="173"/>
      <c r="K131" s="173"/>
      <c r="L131" s="17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row>
    <row r="132" spans="1:68">
      <c r="A132" s="89"/>
      <c r="B132" s="198"/>
      <c r="C132" s="158"/>
      <c r="D132" s="47"/>
      <c r="E132" s="47"/>
      <c r="F132" s="173"/>
      <c r="G132" s="173"/>
      <c r="H132" s="173"/>
      <c r="I132" s="173"/>
      <c r="J132" s="173"/>
      <c r="K132" s="173"/>
      <c r="L132" s="17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row>
    <row r="133" spans="1:68">
      <c r="A133" s="180" t="s">
        <v>163</v>
      </c>
      <c r="B133" s="181">
        <f>-B87*B89</f>
        <v>8200</v>
      </c>
      <c r="C133" s="181">
        <f>C87*C89</f>
        <v>-41000</v>
      </c>
      <c r="D133" s="47"/>
      <c r="E133" s="47"/>
      <c r="F133" s="173"/>
      <c r="G133" s="173"/>
      <c r="H133" s="173"/>
      <c r="I133" s="173"/>
      <c r="J133" s="173"/>
      <c r="K133" s="173"/>
      <c r="L133" s="17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row>
    <row r="134" spans="1:68">
      <c r="A134" s="102"/>
      <c r="B134" s="200"/>
      <c r="C134" s="201"/>
      <c r="D134" s="190"/>
      <c r="E134" s="47"/>
      <c r="F134" s="98"/>
      <c r="G134" s="98"/>
      <c r="H134" s="98"/>
      <c r="I134" s="98"/>
      <c r="J134" s="98"/>
      <c r="K134" s="98"/>
      <c r="L134" s="98"/>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row>
    <row r="135" spans="1:68">
      <c r="A135" s="180" t="s">
        <v>164</v>
      </c>
      <c r="B135" s="202">
        <f>(B75-(B75*B79))/(B101+B103+B133)</f>
        <v>7.9552390640895219</v>
      </c>
      <c r="C135" s="202">
        <f>(C75-(C75*C79))/(C101+C103+C133)</f>
        <v>36.50306748466258</v>
      </c>
      <c r="D135" s="47"/>
      <c r="E135" s="47"/>
      <c r="F135" s="173"/>
      <c r="G135" s="173"/>
      <c r="H135" s="173"/>
      <c r="I135" s="173"/>
      <c r="J135" s="173"/>
      <c r="K135" s="173"/>
      <c r="L135" s="17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row>
    <row r="136" spans="1:68">
      <c r="A136" s="102" t="s">
        <v>165</v>
      </c>
      <c r="B136" s="157"/>
      <c r="C136" s="158"/>
      <c r="D136" s="190"/>
      <c r="E136" s="47"/>
      <c r="F136" s="75"/>
      <c r="G136" s="75"/>
      <c r="H136" s="75"/>
      <c r="I136" s="75"/>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row>
    <row r="137" spans="1:68">
      <c r="A137" s="97"/>
      <c r="B137" s="157"/>
      <c r="C137" s="158"/>
      <c r="D137" s="190"/>
      <c r="E137" s="47"/>
      <c r="F137" s="75"/>
      <c r="G137" s="75"/>
      <c r="H137" s="75"/>
      <c r="I137" s="75"/>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row>
    <row r="138" spans="1:68">
      <c r="A138" s="89"/>
      <c r="B138" s="186"/>
      <c r="C138" s="187"/>
      <c r="D138" s="105"/>
      <c r="E138" s="47"/>
      <c r="F138" s="75"/>
      <c r="G138" s="75"/>
      <c r="H138" s="75"/>
      <c r="I138" s="75"/>
      <c r="J138" s="43"/>
      <c r="K138" s="43"/>
      <c r="L138" s="43"/>
      <c r="M138" s="143"/>
      <c r="N138" s="1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row>
    <row r="139" spans="1:68" ht="18.75">
      <c r="A139" s="174" t="s">
        <v>166</v>
      </c>
      <c r="B139" s="203" t="str">
        <f>B19</f>
        <v>One measure</v>
      </c>
      <c r="C139" s="203" t="str">
        <f>C19</f>
        <v>Group procurement of the measure</v>
      </c>
      <c r="D139" s="105"/>
      <c r="E139" s="47"/>
      <c r="F139" s="75"/>
      <c r="G139" s="75"/>
      <c r="H139" s="75"/>
      <c r="I139" s="75"/>
      <c r="J139" s="43"/>
      <c r="K139" s="43"/>
      <c r="L139" s="43"/>
      <c r="M139" s="143"/>
      <c r="N139" s="1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row>
    <row r="140" spans="1:68" ht="18.75">
      <c r="A140" s="192"/>
      <c r="B140" s="186"/>
      <c r="C140" s="187"/>
      <c r="D140" s="105"/>
      <c r="E140" s="47"/>
      <c r="F140" s="75"/>
      <c r="G140" s="75"/>
      <c r="H140" s="75"/>
      <c r="I140" s="75"/>
      <c r="J140" s="43"/>
      <c r="K140" s="43"/>
      <c r="L140" s="43"/>
      <c r="M140" s="143"/>
      <c r="N140" s="1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row>
    <row r="141" spans="1:68">
      <c r="A141" s="180" t="s">
        <v>167</v>
      </c>
      <c r="B141" s="204">
        <f>(B75-(B75*B79))/(B101+B103)</f>
        <v>13.647469458987784</v>
      </c>
      <c r="C141" s="202">
        <f>(C75-(C75*C79))/(C101+C103)</f>
        <v>10.383944153577662</v>
      </c>
      <c r="D141" s="105"/>
      <c r="E141" s="47"/>
      <c r="F141" s="75"/>
      <c r="G141" s="75"/>
      <c r="H141" s="75"/>
      <c r="I141" s="75"/>
      <c r="J141" s="43"/>
      <c r="K141" s="43"/>
      <c r="L141" s="43"/>
      <c r="M141" s="143"/>
      <c r="N141" s="1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row>
    <row r="142" spans="1:68">
      <c r="A142" s="89"/>
      <c r="B142" s="198"/>
      <c r="C142" s="158"/>
      <c r="D142" s="105"/>
      <c r="E142" s="47"/>
      <c r="F142" s="75"/>
      <c r="G142" s="75"/>
      <c r="H142" s="75"/>
      <c r="I142" s="75"/>
      <c r="J142" s="43"/>
      <c r="K142" s="43"/>
      <c r="L142" s="43"/>
      <c r="M142" s="143"/>
      <c r="N142" s="1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row>
    <row r="143" spans="1:68">
      <c r="A143" s="97"/>
      <c r="B143" s="90"/>
      <c r="C143" s="91"/>
      <c r="D143" s="105"/>
      <c r="E143" s="47"/>
      <c r="F143" s="75"/>
      <c r="G143" s="75"/>
      <c r="H143" s="75"/>
      <c r="I143" s="75"/>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row>
    <row r="144" spans="1:68">
      <c r="A144" s="180" t="s">
        <v>168</v>
      </c>
      <c r="B144" s="205">
        <f>IRR('4. Cash flow '!L12:L62,0.1)</f>
        <v>2.0595869001658551E-2</v>
      </c>
      <c r="C144" s="205">
        <f>IRR('4. Cash flow '!M12:M62,0.1)</f>
        <v>5.623355402489838E-2</v>
      </c>
      <c r="D144" s="105"/>
      <c r="E144" s="105"/>
      <c r="F144" s="75"/>
      <c r="G144" s="75"/>
      <c r="H144" s="75"/>
      <c r="I144" s="75"/>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row>
    <row r="145" spans="1:68">
      <c r="A145" s="89"/>
      <c r="B145" s="200"/>
      <c r="C145" s="201"/>
      <c r="D145" s="105"/>
      <c r="E145" s="105"/>
      <c r="F145" s="75"/>
      <c r="G145" s="75"/>
      <c r="H145" s="75"/>
      <c r="I145" s="75"/>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row>
    <row r="146" spans="1:68">
      <c r="A146" s="180" t="s">
        <v>169</v>
      </c>
      <c r="B146" s="205">
        <f>IRR('4. Cash flow '!N12:N62,0.1)</f>
        <v>5.241857488367585E-2</v>
      </c>
      <c r="C146" s="205">
        <f>IRR('4. Cash flow '!O12:O62,0.1)</f>
        <v>8.7547559225525706E-2</v>
      </c>
      <c r="D146" s="105"/>
      <c r="E146" s="105"/>
      <c r="F146" s="75"/>
      <c r="G146" s="75"/>
      <c r="H146" s="75"/>
      <c r="I146" s="75"/>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row>
    <row r="147" spans="1:68">
      <c r="A147" s="89"/>
      <c r="B147" s="200"/>
      <c r="C147" s="201"/>
      <c r="D147" s="103"/>
      <c r="E147" s="105"/>
      <c r="F147" s="75"/>
      <c r="G147" s="75"/>
      <c r="H147" s="75"/>
      <c r="I147" s="75"/>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row>
    <row r="148" spans="1:68">
      <c r="A148" s="180" t="s">
        <v>170</v>
      </c>
      <c r="B148" s="205">
        <f>IRR('4. Cash flow '!P12:P62,0.1)</f>
        <v>8.2894980203857882E-2</v>
      </c>
      <c r="C148" s="205">
        <f>IRR('4. Cash flow '!Q12:Q62,0.1)</f>
        <v>0.11790894183013845</v>
      </c>
      <c r="D148" s="105"/>
      <c r="E148" s="105"/>
      <c r="F148" s="75"/>
      <c r="G148" s="75"/>
      <c r="H148" s="75"/>
      <c r="I148" s="75"/>
      <c r="J148" s="43"/>
      <c r="K148" s="43"/>
      <c r="L148" s="43"/>
      <c r="M148" s="143"/>
      <c r="N148" s="1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row>
    <row r="149" spans="1:68">
      <c r="A149" s="89"/>
      <c r="B149" s="200"/>
      <c r="C149" s="201"/>
      <c r="D149" s="105"/>
      <c r="E149" s="105"/>
      <c r="F149" s="75"/>
      <c r="G149" s="75"/>
      <c r="H149" s="75"/>
      <c r="I149" s="75"/>
      <c r="J149" s="43"/>
      <c r="K149" s="43"/>
      <c r="L149" s="43"/>
      <c r="M149" s="143"/>
      <c r="N149" s="1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row>
    <row r="150" spans="1:68">
      <c r="A150" s="97"/>
      <c r="B150" s="90"/>
      <c r="C150" s="91"/>
      <c r="D150" s="103"/>
      <c r="E150" s="105"/>
      <c r="F150" s="75"/>
      <c r="G150" s="75"/>
      <c r="H150" s="75"/>
      <c r="I150" s="75"/>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row>
    <row r="151" spans="1:68">
      <c r="A151" s="180" t="s">
        <v>171</v>
      </c>
      <c r="B151" s="181">
        <f ca="1">OFFSET('5. NPV'!E11,MATCH(B23,'5. NPV'!E12:E62,0),1)</f>
        <v>-51933.006338848747</v>
      </c>
      <c r="C151" s="181">
        <f ca="1">OFFSET('5. NPV'!E11,MATCH(C23,'5. NPV'!E12:E62,0),2)</f>
        <v>14293.404476110609</v>
      </c>
      <c r="D151" s="105"/>
      <c r="E151" s="105"/>
      <c r="F151" s="75"/>
      <c r="G151" s="75"/>
      <c r="H151" s="75"/>
      <c r="I151" s="75"/>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row>
    <row r="152" spans="1:68">
      <c r="A152" s="97"/>
      <c r="B152" s="206"/>
      <c r="C152" s="207"/>
      <c r="D152" s="105"/>
      <c r="E152" s="105"/>
      <c r="F152" s="75"/>
      <c r="G152" s="75"/>
      <c r="H152" s="75"/>
      <c r="I152" s="75"/>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row>
    <row r="153" spans="1:68">
      <c r="A153" s="180" t="s">
        <v>172</v>
      </c>
      <c r="B153" s="181">
        <f ca="1">OFFSET('5. NPV'!E11,MATCH(B23,'5. NPV'!E12:E62,0),3)</f>
        <v>-2699.0625091527654</v>
      </c>
      <c r="C153" s="181">
        <f ca="1">OFFSET('5. NPV'!E11,MATCH(C23,'5. NPV'!E12:E62,0),4)</f>
        <v>249513.39381265198</v>
      </c>
      <c r="D153" s="105"/>
      <c r="E153" s="105"/>
      <c r="F153" s="75"/>
      <c r="G153" s="75"/>
      <c r="H153" s="75"/>
      <c r="I153" s="75"/>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row>
    <row r="154" spans="1:68">
      <c r="A154" s="208"/>
      <c r="B154" s="206"/>
      <c r="C154" s="207"/>
      <c r="D154" s="103"/>
      <c r="E154" s="105"/>
      <c r="F154" s="75"/>
      <c r="G154" s="75"/>
      <c r="H154" s="75"/>
      <c r="I154" s="75"/>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row>
    <row r="155" spans="1:68">
      <c r="A155" s="180" t="s">
        <v>173</v>
      </c>
      <c r="B155" s="181">
        <f ca="1">OFFSET('5. NPV'!E11,MATCH(B23,'5. NPV'!E12:E62,0),5)</f>
        <v>63833.025185184684</v>
      </c>
      <c r="C155" s="181">
        <f ca="1">OFFSET('5. NPV'!E11,MATCH(C23,'5. NPV'!E12:E62,0),6)</f>
        <v>576107.12651146401</v>
      </c>
      <c r="D155" s="105"/>
      <c r="E155" s="105"/>
      <c r="F155" s="75"/>
      <c r="G155" s="75"/>
      <c r="H155" s="75"/>
      <c r="I155" s="75"/>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row>
    <row r="156" spans="1:68">
      <c r="A156" s="89"/>
      <c r="B156" s="186"/>
      <c r="C156" s="187"/>
      <c r="D156" s="105"/>
      <c r="E156" s="105"/>
      <c r="F156" s="75"/>
      <c r="G156" s="75"/>
      <c r="H156" s="75"/>
      <c r="I156" s="75"/>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row>
    <row r="157" spans="1:68" ht="17.100000000000001" customHeight="1">
      <c r="A157" s="97"/>
      <c r="B157" s="209"/>
      <c r="C157" s="210"/>
      <c r="D157" s="190"/>
      <c r="E157" s="47"/>
      <c r="F157" s="43"/>
      <c r="G157" s="75"/>
      <c r="H157" s="75"/>
      <c r="I157" s="75"/>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row>
    <row r="158" spans="1:68" ht="15.95" customHeight="1">
      <c r="A158" s="180" t="s">
        <v>174</v>
      </c>
      <c r="B158" s="181">
        <f ca="1">OFFSET('4. Cash flow '!E11,MATCH(B23,'4. Cash flow '!E12:E62,0),1)</f>
        <v>1338.5247345738167</v>
      </c>
      <c r="C158" s="181">
        <f ca="1">OFFSET('4. Cash flow '!E11,MATCH(C23,'4. Cash flow '!E12:E62,0),2)</f>
        <v>320199.2250807145</v>
      </c>
      <c r="D158" s="47"/>
      <c r="E158" s="47"/>
      <c r="F158" s="43"/>
      <c r="G158" s="75"/>
      <c r="H158" s="75"/>
      <c r="I158" s="75"/>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row>
    <row r="159" spans="1:68">
      <c r="A159" s="97"/>
      <c r="B159" s="206"/>
      <c r="C159" s="207"/>
      <c r="D159" s="103"/>
      <c r="E159" s="47"/>
      <c r="F159" s="43"/>
      <c r="G159" s="43"/>
      <c r="H159" s="43"/>
      <c r="I159" s="75"/>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row>
    <row r="160" spans="1:68">
      <c r="A160" s="180" t="s">
        <v>175</v>
      </c>
      <c r="B160" s="181">
        <f ca="1">OFFSET('4. Cash flow '!E11,MATCH(B23,'4. Cash flow '!E12:E62,0),3)</f>
        <v>86342.786967533961</v>
      </c>
      <c r="C160" s="181">
        <f ca="1">OFFSET('4. Cash flow '!E11,MATCH(C23,'4. Cash flow '!E12:E62,0),4)</f>
        <v>724565.06726599438</v>
      </c>
      <c r="D160" s="47"/>
      <c r="E160" s="47"/>
      <c r="F160" s="43"/>
      <c r="G160" s="43"/>
      <c r="H160" s="43"/>
      <c r="I160" s="75"/>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row>
    <row r="161" spans="1:68">
      <c r="A161" s="97"/>
      <c r="B161" s="209"/>
      <c r="C161" s="211"/>
      <c r="D161" s="47"/>
      <c r="E161" s="47"/>
      <c r="F161" s="43"/>
      <c r="G161" s="43"/>
      <c r="H161" s="43"/>
      <c r="I161" s="75"/>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row>
    <row r="162" spans="1:68">
      <c r="A162" s="188" t="s">
        <v>176</v>
      </c>
      <c r="B162" s="181">
        <f ca="1">OFFSET('4. Cash flow '!E11,MATCH(B23,'4. Cash flow '!E12:E62,0),5)</f>
        <v>203427.3374068306</v>
      </c>
      <c r="C162" s="181">
        <f ca="1">OFFSET('4. Cash flow '!E11,MATCH(C23,'4. Cash flow '!E12:E62,0),6)</f>
        <v>1299784.9175249459</v>
      </c>
      <c r="D162" s="47"/>
      <c r="E162" s="47"/>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row>
    <row r="163" spans="1:68">
      <c r="A163" s="47"/>
      <c r="B163" s="47"/>
      <c r="C163" s="47"/>
      <c r="D163" s="47"/>
      <c r="E163" s="47"/>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row>
    <row r="164" spans="1:68">
      <c r="A164" s="47"/>
      <c r="B164" s="47"/>
      <c r="C164" s="47"/>
      <c r="D164" s="47"/>
      <c r="E164" s="47"/>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row>
    <row r="165" spans="1:68">
      <c r="A165" s="47"/>
      <c r="B165" s="47"/>
      <c r="C165" s="47"/>
      <c r="D165" s="47"/>
      <c r="E165" s="47"/>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row>
    <row r="166" spans="1:68">
      <c r="A166" s="47"/>
      <c r="B166" s="47"/>
      <c r="C166" s="47"/>
      <c r="D166" s="47"/>
      <c r="E166" s="47"/>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row>
    <row r="167" spans="1:68">
      <c r="A167" s="47"/>
      <c r="B167" s="47"/>
      <c r="C167" s="47"/>
      <c r="D167" s="47"/>
      <c r="E167" s="47"/>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row>
    <row r="168" spans="1:68">
      <c r="A168" s="47"/>
      <c r="B168" s="47"/>
      <c r="C168" s="47"/>
      <c r="D168" s="47"/>
      <c r="E168" s="47"/>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row>
    <row r="169" spans="1:68">
      <c r="A169" s="47"/>
      <c r="B169" s="47"/>
      <c r="C169" s="47"/>
      <c r="D169" s="47"/>
      <c r="E169" s="47"/>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row>
    <row r="170" spans="1:68">
      <c r="A170" s="47"/>
      <c r="B170" s="47"/>
      <c r="C170" s="47"/>
      <c r="D170" s="47"/>
      <c r="E170" s="47"/>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row>
    <row r="171" spans="1:68">
      <c r="A171" s="47"/>
      <c r="B171" s="47"/>
      <c r="C171" s="47"/>
      <c r="D171" s="47"/>
      <c r="E171" s="47"/>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row>
    <row r="172" spans="1:68">
      <c r="A172" s="47"/>
      <c r="B172" s="47"/>
      <c r="C172" s="47"/>
      <c r="D172" s="47"/>
      <c r="E172" s="47"/>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43"/>
      <c r="BN172" s="43"/>
      <c r="BO172" s="43"/>
      <c r="BP172" s="43"/>
    </row>
    <row r="173" spans="1:68">
      <c r="A173" s="47"/>
      <c r="B173" s="47"/>
      <c r="C173" s="47"/>
      <c r="D173" s="47"/>
      <c r="E173" s="47"/>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43"/>
      <c r="BN173" s="43"/>
      <c r="BO173" s="43"/>
      <c r="BP173" s="43"/>
    </row>
    <row r="174" spans="1:68" s="1" customFormat="1">
      <c r="A174" s="47"/>
      <c r="B174" s="47"/>
      <c r="C174" s="47"/>
      <c r="D174" s="47"/>
      <c r="E174" s="47"/>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43"/>
    </row>
    <row r="175" spans="1:68">
      <c r="A175" s="47"/>
      <c r="B175" s="47"/>
      <c r="C175" s="47"/>
      <c r="D175" s="47"/>
      <c r="E175" s="47"/>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row>
    <row r="176" spans="1:68">
      <c r="A176" s="47"/>
      <c r="B176" s="47"/>
      <c r="C176" s="47"/>
      <c r="D176" s="47"/>
      <c r="E176" s="47"/>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43"/>
    </row>
    <row r="177" spans="1:68">
      <c r="A177" s="47"/>
      <c r="B177" s="47"/>
      <c r="C177" s="47"/>
      <c r="D177" s="47"/>
      <c r="E177" s="47"/>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row>
    <row r="178" spans="1:68">
      <c r="A178" s="47"/>
      <c r="B178" s="47"/>
      <c r="C178" s="47"/>
      <c r="D178" s="47"/>
      <c r="E178" s="47"/>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43"/>
      <c r="BN178" s="43"/>
      <c r="BO178" s="43"/>
      <c r="BP178" s="43"/>
    </row>
    <row r="179" spans="1:68">
      <c r="A179" s="47"/>
      <c r="B179" s="47"/>
      <c r="C179" s="47"/>
      <c r="D179" s="47"/>
      <c r="E179" s="47"/>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43"/>
      <c r="BN179" s="43"/>
      <c r="BO179" s="43"/>
      <c r="BP179" s="43"/>
    </row>
    <row r="180" spans="1:68">
      <c r="A180" s="47"/>
      <c r="B180" s="47"/>
      <c r="C180" s="47"/>
      <c r="D180" s="47"/>
      <c r="E180" s="47"/>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row>
    <row r="181" spans="1:68">
      <c r="A181" s="47"/>
      <c r="B181" s="47"/>
      <c r="C181" s="47"/>
      <c r="D181" s="47"/>
      <c r="E181" s="47"/>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row>
    <row r="182" spans="1:68">
      <c r="A182" s="47"/>
      <c r="B182" s="47"/>
      <c r="C182" s="47"/>
      <c r="D182" s="47"/>
      <c r="E182" s="47"/>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43"/>
    </row>
    <row r="183" spans="1:68">
      <c r="A183" s="47"/>
      <c r="B183" s="47"/>
      <c r="C183" s="47"/>
      <c r="D183" s="47"/>
      <c r="E183" s="47"/>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43"/>
    </row>
    <row r="184" spans="1:68">
      <c r="A184" s="47"/>
      <c r="B184" s="47"/>
      <c r="C184" s="47"/>
      <c r="D184" s="47"/>
      <c r="E184" s="47"/>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43"/>
    </row>
    <row r="185" spans="1:68">
      <c r="A185" s="47"/>
      <c r="B185" s="47"/>
      <c r="C185" s="47"/>
      <c r="D185" s="47"/>
      <c r="E185" s="47"/>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43"/>
    </row>
    <row r="186" spans="1:68">
      <c r="A186" s="47"/>
      <c r="B186" s="47"/>
      <c r="C186" s="47"/>
      <c r="D186" s="47"/>
      <c r="E186" s="47"/>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43"/>
    </row>
    <row r="187" spans="1:68">
      <c r="A187" s="47"/>
      <c r="B187" s="47"/>
      <c r="C187" s="47"/>
      <c r="D187" s="47"/>
      <c r="E187" s="47"/>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43"/>
    </row>
    <row r="188" spans="1:68">
      <c r="A188" s="47"/>
      <c r="B188" s="47"/>
      <c r="C188" s="47"/>
      <c r="D188" s="47"/>
      <c r="E188" s="47"/>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row>
    <row r="189" spans="1:68">
      <c r="A189" s="47"/>
      <c r="B189" s="47"/>
      <c r="C189" s="47"/>
      <c r="D189" s="47"/>
      <c r="E189" s="47"/>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row>
    <row r="190" spans="1:68">
      <c r="A190" s="47"/>
      <c r="B190" s="47"/>
      <c r="C190" s="47"/>
      <c r="D190" s="47"/>
      <c r="E190" s="47"/>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row>
    <row r="191" spans="1:68">
      <c r="A191" s="47"/>
      <c r="B191" s="47"/>
      <c r="C191" s="47"/>
      <c r="D191" s="47"/>
      <c r="E191" s="47"/>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row>
    <row r="192" spans="1:68">
      <c r="A192" s="47"/>
      <c r="B192" s="47"/>
      <c r="C192" s="47"/>
      <c r="D192" s="47"/>
      <c r="E192" s="47"/>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row>
    <row r="193" spans="1:68">
      <c r="A193" s="47"/>
      <c r="B193" s="47"/>
      <c r="C193" s="47"/>
      <c r="D193" s="47"/>
      <c r="E193" s="47"/>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row>
    <row r="194" spans="1:68">
      <c r="A194" s="47"/>
      <c r="B194" s="47"/>
      <c r="C194" s="47"/>
      <c r="D194" s="47"/>
      <c r="E194" s="47"/>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row>
    <row r="195" spans="1:68">
      <c r="A195" s="47"/>
      <c r="B195" s="47"/>
      <c r="C195" s="47"/>
      <c r="D195" s="47"/>
      <c r="E195" s="47"/>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43"/>
      <c r="BP195" s="43"/>
    </row>
    <row r="196" spans="1:68">
      <c r="A196" s="47"/>
      <c r="B196" s="47"/>
      <c r="C196" s="47"/>
      <c r="D196" s="47"/>
      <c r="E196" s="47"/>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row>
    <row r="197" spans="1:68">
      <c r="A197" s="47"/>
      <c r="B197" s="47"/>
      <c r="C197" s="47"/>
      <c r="D197" s="47"/>
      <c r="E197" s="47"/>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row>
    <row r="198" spans="1:68">
      <c r="A198" s="47"/>
      <c r="B198" s="47"/>
      <c r="C198" s="47"/>
      <c r="D198" s="47"/>
      <c r="E198" s="47"/>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row>
    <row r="199" spans="1:68">
      <c r="A199" s="47"/>
      <c r="B199" s="47"/>
      <c r="C199" s="47"/>
      <c r="D199" s="47"/>
      <c r="E199" s="47"/>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row>
    <row r="200" spans="1:68">
      <c r="A200" s="47"/>
      <c r="B200" s="47"/>
      <c r="C200" s="47"/>
      <c r="D200" s="47"/>
      <c r="E200" s="47"/>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row>
    <row r="201" spans="1:68">
      <c r="A201" s="47"/>
      <c r="B201" s="47"/>
      <c r="C201" s="47"/>
      <c r="D201" s="47"/>
      <c r="E201" s="47"/>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row>
    <row r="202" spans="1:68">
      <c r="A202" s="47"/>
      <c r="B202" s="47"/>
      <c r="C202" s="47"/>
      <c r="D202" s="47"/>
      <c r="E202" s="47"/>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row>
    <row r="203" spans="1:68">
      <c r="A203" s="47"/>
      <c r="B203" s="47"/>
      <c r="C203" s="47"/>
      <c r="D203" s="47"/>
      <c r="E203" s="47"/>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row>
    <row r="204" spans="1:68">
      <c r="A204" s="212"/>
      <c r="B204" s="47"/>
      <c r="C204" s="47"/>
      <c r="D204" s="47"/>
      <c r="E204" s="47"/>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43"/>
      <c r="BP204" s="43"/>
    </row>
    <row r="205" spans="1:68">
      <c r="A205" s="47"/>
      <c r="B205" s="47"/>
      <c r="C205" s="47"/>
      <c r="D205" s="47"/>
      <c r="E205" s="47"/>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43"/>
      <c r="BN205" s="43"/>
      <c r="BO205" s="43"/>
      <c r="BP205" s="43"/>
    </row>
    <row r="206" spans="1:68">
      <c r="A206" s="47"/>
      <c r="B206" s="47"/>
      <c r="C206" s="47"/>
      <c r="D206" s="47"/>
      <c r="E206" s="47"/>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43"/>
      <c r="BP206" s="43"/>
    </row>
    <row r="207" spans="1:68">
      <c r="A207" s="47"/>
      <c r="B207" s="47"/>
      <c r="C207" s="47"/>
      <c r="D207" s="47"/>
      <c r="E207" s="47"/>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43"/>
      <c r="BN207" s="43"/>
      <c r="BO207" s="43"/>
      <c r="BP207" s="43"/>
    </row>
    <row r="208" spans="1:68">
      <c r="A208" s="47"/>
      <c r="B208" s="47"/>
      <c r="C208" s="47"/>
      <c r="D208" s="47"/>
      <c r="E208" s="47"/>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43"/>
      <c r="BN208" s="43"/>
      <c r="BO208" s="43"/>
      <c r="BP208" s="43"/>
    </row>
    <row r="209" spans="1:68">
      <c r="A209" s="47"/>
      <c r="B209" s="47"/>
      <c r="C209" s="47"/>
      <c r="D209" s="47"/>
      <c r="E209" s="47"/>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43"/>
      <c r="BN209" s="43"/>
      <c r="BO209" s="43"/>
      <c r="BP209" s="43"/>
    </row>
    <row r="210" spans="1:68">
      <c r="A210" s="47"/>
      <c r="B210" s="47"/>
      <c r="C210" s="47"/>
      <c r="D210" s="47"/>
      <c r="E210" s="47"/>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43"/>
      <c r="BP210" s="43"/>
    </row>
    <row r="211" spans="1:68">
      <c r="A211" s="47"/>
      <c r="B211" s="47"/>
      <c r="C211" s="47"/>
      <c r="D211" s="47"/>
      <c r="E211" s="47"/>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c r="BF211" s="43"/>
      <c r="BG211" s="43"/>
      <c r="BH211" s="43"/>
      <c r="BI211" s="43"/>
      <c r="BJ211" s="43"/>
      <c r="BK211" s="43"/>
      <c r="BL211" s="43"/>
      <c r="BM211" s="43"/>
      <c r="BN211" s="43"/>
      <c r="BO211" s="43"/>
      <c r="BP211" s="43"/>
    </row>
    <row r="212" spans="1:68">
      <c r="A212" s="213"/>
      <c r="B212" s="47"/>
      <c r="C212" s="47"/>
      <c r="D212" s="47"/>
      <c r="E212" s="47"/>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row>
    <row r="213" spans="1:68">
      <c r="A213" s="47"/>
      <c r="B213" s="47"/>
      <c r="C213" s="47"/>
      <c r="D213" s="47"/>
      <c r="E213" s="47"/>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row>
    <row r="214" spans="1:68">
      <c r="A214" s="47"/>
      <c r="B214" s="47"/>
      <c r="C214" s="47"/>
      <c r="D214" s="47"/>
      <c r="E214" s="47"/>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43"/>
      <c r="BP214" s="43"/>
    </row>
    <row r="215" spans="1:68">
      <c r="A215" s="47"/>
      <c r="B215" s="47"/>
      <c r="C215" s="47"/>
      <c r="D215" s="47"/>
      <c r="E215" s="47"/>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43"/>
      <c r="BP215" s="43"/>
    </row>
    <row r="216" spans="1:68">
      <c r="A216" s="47"/>
      <c r="B216" s="47"/>
      <c r="C216" s="47"/>
      <c r="D216" s="47"/>
      <c r="E216" s="47"/>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43"/>
      <c r="BN216" s="43"/>
      <c r="BO216" s="43"/>
      <c r="BP216" s="43"/>
    </row>
    <row r="217" spans="1:68">
      <c r="A217" s="47"/>
      <c r="B217" s="47"/>
      <c r="C217" s="47"/>
      <c r="D217" s="47"/>
      <c r="E217" s="47"/>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43"/>
      <c r="BP217" s="43"/>
    </row>
    <row r="218" spans="1:68">
      <c r="A218" s="214"/>
      <c r="B218" s="47"/>
      <c r="C218" s="47"/>
      <c r="D218" s="47"/>
      <c r="E218" s="47"/>
      <c r="F218" s="43"/>
      <c r="G218" s="43"/>
      <c r="H218" s="43"/>
    </row>
    <row r="219" spans="1:68">
      <c r="A219" s="47"/>
      <c r="B219" s="47"/>
      <c r="C219" s="47"/>
      <c r="D219" s="47"/>
      <c r="E219" s="47"/>
      <c r="F219" s="43"/>
      <c r="G219" s="43"/>
      <c r="H219" s="43"/>
    </row>
    <row r="220" spans="1:68">
      <c r="A220" s="214"/>
      <c r="B220" s="47"/>
      <c r="C220" s="47"/>
      <c r="D220" s="47"/>
      <c r="E220" s="47"/>
      <c r="F220" s="43"/>
      <c r="G220" s="43"/>
      <c r="H220" s="43"/>
    </row>
    <row r="221" spans="1:68">
      <c r="A221" s="47"/>
      <c r="B221" s="47"/>
      <c r="C221" s="47"/>
      <c r="D221" s="47"/>
      <c r="E221" s="47"/>
      <c r="F221" s="43"/>
      <c r="G221" s="43"/>
      <c r="H221" s="43"/>
    </row>
    <row r="222" spans="1:68">
      <c r="A222" s="214"/>
      <c r="B222" s="47"/>
      <c r="C222" s="47"/>
      <c r="D222" s="47"/>
      <c r="E222" s="47"/>
      <c r="F222" s="43"/>
      <c r="G222" s="43"/>
      <c r="H222" s="43"/>
    </row>
    <row r="223" spans="1:68">
      <c r="A223" s="47"/>
      <c r="B223" s="47"/>
      <c r="C223" s="47"/>
      <c r="D223" s="47"/>
      <c r="E223" s="47"/>
      <c r="F223" s="43"/>
      <c r="G223" s="43"/>
      <c r="H223" s="43"/>
    </row>
    <row r="224" spans="1:68">
      <c r="D224" s="47"/>
      <c r="E224" s="47"/>
      <c r="F224" s="43"/>
      <c r="G224" s="43"/>
      <c r="H224" s="43"/>
    </row>
  </sheetData>
  <sheetProtection sheet="1" objects="1" scenarios="1"/>
  <conditionalFormatting sqref="E29:L120">
    <cfRule type="containsErrors" dxfId="24" priority="2">
      <formula>ISERROR(E29)</formula>
    </cfRule>
  </conditionalFormatting>
  <pageMargins left="0" right="0" top="0" bottom="0" header="0" footer="0"/>
  <pageSetup paperSize="9" scale="65" fitToHeight="0" orientation="portrait"/>
  <rowBreaks count="1" manualBreakCount="1">
    <brk id="89" max="2" man="1"/>
  </rowBreaks>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Type of building" prompt="Choose type of building" xr:uid="{00000000-0002-0000-0200-000000000000}">
          <x14:formula1>
            <xm:f>'Type of building'!$A$2:$A$8</xm:f>
          </x14:formula1>
          <xm:sqref>B6</xm:sqref>
        </x14:dataValidation>
        <x14:dataValidation type="list" allowBlank="1" showInputMessage="1" showErrorMessage="1" promptTitle="Heating system" prompt="choose heating system" xr:uid="{00000000-0002-0000-0200-000001000000}">
          <x14:formula1>
            <xm:f>'Heating system (hidden)'!$A$2:$A$6</xm:f>
          </x14:formula1>
          <xm:sqref>B8</xm:sqref>
        </x14:dataValidation>
        <x14:dataValidation type="list" allowBlank="1" showInputMessage="1" showErrorMessage="1" promptTitle="Ventilation system" prompt="Choose ventilation system" xr:uid="{00000000-0002-0000-0200-000002000000}">
          <x14:formula1>
            <xm:f>'Ventilation system'!$A$2:$A$5</xm:f>
          </x14:formula1>
          <xm:sqref>B9</xm:sqref>
        </x14:dataValidation>
        <x14:dataValidation type="list" allowBlank="1" showInputMessage="1" showErrorMessage="1" promptTitle="Cooling system" prompt="Choose cooling system" xr:uid="{00000000-0002-0000-0200-000003000000}">
          <x14:formula1>
            <xm:f>'Cooling system'!$A$2:$A$5</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election activeCell="C19" sqref="C19"/>
    </sheetView>
  </sheetViews>
  <sheetFormatPr defaultColWidth="9" defaultRowHeight="15"/>
  <cols>
    <col min="1" max="1" width="36.140625" customWidth="1"/>
  </cols>
  <sheetData>
    <row r="1" spans="1:1">
      <c r="A1" t="s">
        <v>99</v>
      </c>
    </row>
    <row r="2" spans="1:1">
      <c r="A2" t="s">
        <v>177</v>
      </c>
    </row>
    <row r="3" spans="1:1">
      <c r="A3" t="s">
        <v>178</v>
      </c>
    </row>
    <row r="4" spans="1:1">
      <c r="A4" t="s">
        <v>100</v>
      </c>
    </row>
    <row r="5" spans="1:1">
      <c r="A5" t="s">
        <v>102</v>
      </c>
    </row>
  </sheetData>
  <sheetProtection sheet="1" objects="1" scenarios="1"/>
  <pageMargins left="0.7" right="0.7" top="0.75" bottom="0.75" header="0.3" footer="0.3"/>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B8" sqref="B8"/>
    </sheetView>
  </sheetViews>
  <sheetFormatPr defaultColWidth="9" defaultRowHeight="15"/>
  <cols>
    <col min="1" max="1" width="15.42578125" customWidth="1"/>
  </cols>
  <sheetData>
    <row r="1" spans="1:1">
      <c r="A1" t="s">
        <v>101</v>
      </c>
    </row>
    <row r="2" spans="1:1">
      <c r="A2" t="s">
        <v>179</v>
      </c>
    </row>
    <row r="3" spans="1:1">
      <c r="A3" t="s">
        <v>104</v>
      </c>
    </row>
    <row r="4" spans="1:1">
      <c r="A4" t="s">
        <v>100</v>
      </c>
    </row>
    <row r="5" spans="1:1">
      <c r="A5" t="s">
        <v>102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D8" sqref="D8"/>
    </sheetView>
  </sheetViews>
  <sheetFormatPr defaultColWidth="9" defaultRowHeight="15"/>
  <cols>
    <col min="1" max="1" width="28.28515625" customWidth="1"/>
  </cols>
  <sheetData>
    <row r="1" spans="1:1">
      <c r="A1" t="s">
        <v>95</v>
      </c>
    </row>
    <row r="2" spans="1:1">
      <c r="A2" s="29" t="s">
        <v>96</v>
      </c>
    </row>
    <row r="3" spans="1:1">
      <c r="A3" s="29" t="s">
        <v>180</v>
      </c>
    </row>
    <row r="4" spans="1:1">
      <c r="A4" s="29" t="s">
        <v>181</v>
      </c>
    </row>
    <row r="5" spans="1:1">
      <c r="A5" s="29" t="s">
        <v>182</v>
      </c>
    </row>
    <row r="6" spans="1:1">
      <c r="A6" s="29" t="s">
        <v>183</v>
      </c>
    </row>
    <row r="7" spans="1:1">
      <c r="A7" s="29" t="s">
        <v>184</v>
      </c>
    </row>
    <row r="8" spans="1:1">
      <c r="A8" s="29" t="s">
        <v>185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11"/>
  <sheetViews>
    <sheetView showGridLines="0" showRowColHeaders="0" workbookViewId="0">
      <selection activeCell="N77" sqref="N77"/>
    </sheetView>
  </sheetViews>
  <sheetFormatPr defaultColWidth="9" defaultRowHeight="15"/>
  <cols>
    <col min="1" max="1" width="38.85546875" customWidth="1"/>
    <col min="2" max="2" width="36.140625" customWidth="1"/>
    <col min="15" max="15" width="39.140625" customWidth="1"/>
    <col min="16" max="16" width="34.85546875" customWidth="1"/>
  </cols>
  <sheetData>
    <row r="1" spans="1:14" ht="76.5" customHeight="1">
      <c r="C1" s="43"/>
      <c r="D1" s="43"/>
      <c r="E1" s="43"/>
      <c r="F1" s="43"/>
      <c r="G1" s="43"/>
      <c r="H1" s="43"/>
      <c r="I1" s="43"/>
      <c r="J1" s="43"/>
      <c r="K1" s="43"/>
      <c r="L1" s="43"/>
      <c r="M1" s="43"/>
      <c r="N1" s="43"/>
    </row>
    <row r="2" spans="1:14" ht="16.5" customHeight="1">
      <c r="A2" s="24" t="s">
        <v>93</v>
      </c>
      <c r="B2" s="26" t="str">
        <f>'2. Inputs and results'!B5</f>
        <v>Building</v>
      </c>
      <c r="C2" s="43"/>
      <c r="D2" s="43"/>
      <c r="E2" s="43"/>
      <c r="F2" s="43"/>
      <c r="G2" s="43"/>
      <c r="H2" s="43"/>
      <c r="I2" s="43"/>
      <c r="J2" s="43"/>
      <c r="K2" s="43"/>
      <c r="L2" s="43"/>
      <c r="M2" s="43"/>
      <c r="N2" s="43"/>
    </row>
    <row r="3" spans="1:14">
      <c r="A3" s="38"/>
      <c r="B3" s="44"/>
      <c r="C3" s="43"/>
      <c r="D3" s="43"/>
      <c r="E3" s="43"/>
      <c r="F3" s="43"/>
      <c r="G3" s="43"/>
      <c r="H3" s="43"/>
      <c r="I3" s="43"/>
      <c r="J3" s="43"/>
      <c r="K3" s="43"/>
      <c r="L3" s="43"/>
      <c r="M3" s="43"/>
      <c r="N3" s="43"/>
    </row>
    <row r="4" spans="1:14">
      <c r="A4" s="24" t="s">
        <v>95</v>
      </c>
      <c r="B4" s="26" t="str">
        <f>'2. Inputs and results'!B6</f>
        <v>Housing/ Residential building</v>
      </c>
      <c r="C4" s="43"/>
      <c r="D4" s="43"/>
      <c r="E4" s="43"/>
      <c r="F4" s="43"/>
      <c r="G4" s="43"/>
      <c r="H4" s="43"/>
      <c r="I4" s="43"/>
      <c r="J4" s="43"/>
      <c r="K4" s="43"/>
      <c r="L4" s="43"/>
      <c r="M4" s="43"/>
      <c r="N4" s="43"/>
    </row>
    <row r="5" spans="1:14">
      <c r="A5" s="38"/>
      <c r="B5" s="44"/>
      <c r="C5" s="43"/>
      <c r="D5" s="43"/>
      <c r="E5" s="43"/>
      <c r="F5" s="43"/>
      <c r="G5" s="43"/>
      <c r="H5" s="43"/>
      <c r="I5" s="43"/>
      <c r="J5" s="43"/>
      <c r="K5" s="43"/>
      <c r="L5" s="43"/>
      <c r="M5" s="43"/>
      <c r="N5" s="43"/>
    </row>
    <row r="6" spans="1:14">
      <c r="A6" s="24" t="s">
        <v>97</v>
      </c>
      <c r="B6" s="26" t="str">
        <f>'2. Inputs and results'!B8</f>
        <v>District heating</v>
      </c>
      <c r="C6" s="43"/>
      <c r="D6" s="43"/>
      <c r="E6" s="43"/>
      <c r="F6" s="43"/>
      <c r="G6" s="43"/>
      <c r="H6" s="43"/>
      <c r="I6" s="43"/>
      <c r="J6" s="43"/>
      <c r="K6" s="43"/>
      <c r="L6" s="43"/>
      <c r="M6" s="43"/>
      <c r="N6" s="43"/>
    </row>
    <row r="7" spans="1:14">
      <c r="A7" s="24" t="s">
        <v>99</v>
      </c>
      <c r="B7" s="26" t="str">
        <f>'2. Inputs and results'!B9</f>
        <v>Other</v>
      </c>
      <c r="C7" s="43"/>
      <c r="D7" s="43"/>
      <c r="E7" s="43"/>
      <c r="F7" s="43"/>
      <c r="G7" s="43"/>
      <c r="H7" s="43"/>
      <c r="I7" s="43"/>
      <c r="J7" s="43"/>
      <c r="K7" s="43"/>
      <c r="L7" s="43"/>
      <c r="M7" s="43"/>
      <c r="N7" s="43"/>
    </row>
    <row r="8" spans="1:14">
      <c r="A8" s="27" t="s">
        <v>101</v>
      </c>
      <c r="B8" s="28" t="str">
        <f>'2. Inputs and results'!B10</f>
        <v>None</v>
      </c>
      <c r="C8" s="43"/>
      <c r="D8" s="43"/>
      <c r="E8" s="43"/>
      <c r="F8" s="43"/>
      <c r="G8" s="43"/>
      <c r="H8" s="43"/>
      <c r="I8" s="43"/>
      <c r="J8" s="43"/>
      <c r="K8" s="43"/>
      <c r="L8" s="43"/>
      <c r="M8" s="43"/>
      <c r="N8" s="43"/>
    </row>
    <row r="9" spans="1:14">
      <c r="A9" s="43"/>
      <c r="B9" s="43"/>
      <c r="C9" s="43"/>
      <c r="D9" s="43"/>
      <c r="E9" s="43"/>
      <c r="F9" s="43"/>
      <c r="G9" s="43"/>
      <c r="H9" s="43"/>
      <c r="I9" s="43"/>
      <c r="J9" s="43"/>
      <c r="K9" s="43"/>
      <c r="L9" s="43"/>
      <c r="M9" s="43"/>
      <c r="N9" s="43"/>
    </row>
    <row r="10" spans="1:14">
      <c r="A10" s="43"/>
      <c r="B10" s="43"/>
      <c r="C10" s="43"/>
      <c r="D10" s="43"/>
      <c r="E10" s="43"/>
      <c r="F10" s="43"/>
      <c r="G10" s="43"/>
      <c r="H10" s="43"/>
      <c r="I10" s="43"/>
      <c r="J10" s="43"/>
      <c r="K10" s="43"/>
      <c r="L10" s="43"/>
      <c r="M10" s="43"/>
      <c r="N10" s="43"/>
    </row>
    <row r="11" spans="1:14" ht="18.75">
      <c r="A11" s="45" t="str">
        <f>'2. Inputs and results'!B19</f>
        <v>One measure</v>
      </c>
      <c r="B11" s="43"/>
      <c r="C11" s="43"/>
      <c r="D11" s="43"/>
      <c r="E11" s="45" t="str">
        <f>'2. Inputs and results'!C19</f>
        <v>Group procurement of the measure</v>
      </c>
      <c r="F11" s="43"/>
      <c r="G11" s="43"/>
      <c r="H11" s="43"/>
      <c r="I11" s="43"/>
      <c r="J11" s="43"/>
      <c r="K11" s="43"/>
      <c r="L11" s="43"/>
      <c r="M11" s="43"/>
      <c r="N11" s="43"/>
    </row>
    <row r="12" spans="1:14">
      <c r="A12" s="43"/>
      <c r="B12" s="43"/>
      <c r="C12" s="43"/>
      <c r="D12" s="43"/>
      <c r="E12" s="43"/>
      <c r="F12" s="43"/>
      <c r="G12" s="43"/>
      <c r="H12" s="43"/>
      <c r="I12" s="43"/>
      <c r="J12" s="43"/>
      <c r="K12" s="43"/>
      <c r="L12" s="43"/>
      <c r="M12" s="43"/>
      <c r="N12" s="43"/>
    </row>
    <row r="13" spans="1:14">
      <c r="A13" s="43"/>
      <c r="B13" s="43"/>
      <c r="C13" s="43"/>
      <c r="D13" s="43"/>
      <c r="E13" s="43"/>
      <c r="F13" s="43"/>
      <c r="G13" s="43"/>
      <c r="H13" s="43"/>
      <c r="I13" s="43"/>
      <c r="J13" s="43"/>
      <c r="K13" s="43"/>
      <c r="L13" s="43"/>
      <c r="M13" s="43"/>
      <c r="N13" s="43"/>
    </row>
    <row r="14" spans="1:14">
      <c r="A14" s="43"/>
      <c r="B14" s="43"/>
      <c r="C14" s="43"/>
      <c r="D14" s="43"/>
      <c r="E14" s="43"/>
      <c r="F14" s="43"/>
      <c r="G14" s="43"/>
      <c r="H14" s="43"/>
      <c r="I14" s="43"/>
      <c r="J14" s="43"/>
      <c r="K14" s="43"/>
      <c r="L14" s="43"/>
      <c r="M14" s="43"/>
      <c r="N14" s="43"/>
    </row>
    <row r="15" spans="1:14">
      <c r="A15" s="43"/>
      <c r="B15" s="43"/>
      <c r="C15" s="43"/>
      <c r="D15" s="43"/>
      <c r="E15" s="43"/>
      <c r="F15" s="43"/>
      <c r="G15" s="43"/>
      <c r="H15" s="43"/>
      <c r="I15" s="43"/>
      <c r="J15" s="43"/>
      <c r="K15" s="43"/>
      <c r="L15" s="43"/>
      <c r="M15" s="43"/>
      <c r="N15" s="43"/>
    </row>
    <row r="16" spans="1:14">
      <c r="A16" s="43"/>
      <c r="B16" s="43"/>
      <c r="C16" s="43"/>
      <c r="D16" s="43"/>
      <c r="E16" s="43"/>
      <c r="F16" s="43"/>
      <c r="G16" s="43"/>
      <c r="H16" s="43"/>
      <c r="I16" s="43"/>
      <c r="J16" s="43"/>
      <c r="K16" s="43"/>
      <c r="L16" s="43"/>
      <c r="M16" s="43"/>
      <c r="N16" s="43"/>
    </row>
    <row r="17" spans="1:14">
      <c r="A17" s="43"/>
      <c r="B17" s="43"/>
      <c r="C17" s="43"/>
      <c r="D17" s="43"/>
      <c r="E17" s="43"/>
      <c r="F17" s="43"/>
      <c r="G17" s="43"/>
      <c r="H17" s="43"/>
      <c r="I17" s="43"/>
      <c r="J17" s="43"/>
      <c r="K17" s="43"/>
      <c r="L17" s="43"/>
      <c r="M17" s="43"/>
      <c r="N17" s="43"/>
    </row>
    <row r="18" spans="1:14">
      <c r="A18" s="43"/>
      <c r="B18" s="43"/>
      <c r="C18" s="43"/>
      <c r="D18" s="43"/>
      <c r="E18" s="43"/>
      <c r="F18" s="43"/>
      <c r="G18" s="43"/>
      <c r="H18" s="43"/>
      <c r="I18" s="43"/>
      <c r="J18" s="43"/>
      <c r="K18" s="43"/>
      <c r="L18" s="43"/>
      <c r="M18" s="43"/>
      <c r="N18" s="43"/>
    </row>
    <row r="19" spans="1:14">
      <c r="A19" s="43"/>
      <c r="B19" s="43"/>
      <c r="C19" s="43"/>
      <c r="D19" s="43"/>
      <c r="E19" s="43"/>
      <c r="F19" s="43"/>
      <c r="G19" s="43"/>
      <c r="H19" s="43"/>
      <c r="I19" s="43"/>
      <c r="J19" s="43"/>
      <c r="K19" s="43"/>
      <c r="L19" s="43"/>
      <c r="M19" s="43"/>
      <c r="N19" s="43"/>
    </row>
    <row r="20" spans="1:14">
      <c r="A20" s="43"/>
      <c r="B20" s="43"/>
      <c r="C20" s="43"/>
      <c r="D20" s="43"/>
      <c r="E20" s="43"/>
      <c r="F20" s="43"/>
      <c r="G20" s="43"/>
      <c r="H20" s="43"/>
      <c r="I20" s="43"/>
      <c r="J20" s="43"/>
      <c r="K20" s="43"/>
      <c r="L20" s="43"/>
      <c r="M20" s="43"/>
      <c r="N20" s="43"/>
    </row>
    <row r="21" spans="1:14">
      <c r="A21" s="43"/>
      <c r="B21" s="43"/>
      <c r="C21" s="43"/>
      <c r="D21" s="43"/>
      <c r="E21" s="43"/>
      <c r="F21" s="43"/>
      <c r="G21" s="43"/>
      <c r="H21" s="43"/>
      <c r="I21" s="43"/>
      <c r="J21" s="43"/>
      <c r="K21" s="43"/>
      <c r="L21" s="43"/>
      <c r="M21" s="43"/>
      <c r="N21" s="43"/>
    </row>
    <row r="22" spans="1:14">
      <c r="A22" s="43"/>
      <c r="B22" s="43"/>
      <c r="C22" s="43"/>
      <c r="D22" s="43"/>
      <c r="E22" s="43"/>
      <c r="F22" s="43"/>
      <c r="G22" s="43"/>
      <c r="H22" s="43"/>
      <c r="I22" s="43"/>
      <c r="J22" s="43"/>
      <c r="K22" s="43"/>
      <c r="L22" s="43"/>
      <c r="M22" s="43"/>
      <c r="N22" s="43"/>
    </row>
    <row r="23" spans="1:14">
      <c r="A23" s="43"/>
      <c r="B23" s="43"/>
      <c r="C23" s="43"/>
      <c r="D23" s="43"/>
      <c r="E23" s="43"/>
      <c r="F23" s="43"/>
      <c r="G23" s="43"/>
      <c r="H23" s="43"/>
      <c r="I23" s="43"/>
      <c r="J23" s="43"/>
      <c r="K23" s="43"/>
      <c r="L23" s="43"/>
      <c r="M23" s="43"/>
      <c r="N23" s="43"/>
    </row>
    <row r="24" spans="1:14">
      <c r="A24" s="43"/>
      <c r="B24" s="43"/>
      <c r="C24" s="43"/>
      <c r="D24" s="43"/>
      <c r="E24" s="43"/>
      <c r="F24" s="43"/>
      <c r="G24" s="43"/>
      <c r="H24" s="43"/>
      <c r="I24" s="43"/>
      <c r="J24" s="43"/>
      <c r="K24" s="43"/>
      <c r="L24" s="43"/>
      <c r="M24" s="43"/>
      <c r="N24" s="43"/>
    </row>
    <row r="25" spans="1:14">
      <c r="A25" s="43"/>
      <c r="B25" s="43"/>
      <c r="C25" s="43"/>
      <c r="D25" s="43"/>
      <c r="E25" s="43"/>
      <c r="F25" s="43"/>
      <c r="G25" s="43"/>
      <c r="H25" s="43"/>
      <c r="I25" s="43"/>
      <c r="J25" s="43"/>
      <c r="K25" s="43"/>
      <c r="L25" s="43"/>
      <c r="M25" s="43"/>
      <c r="N25" s="43"/>
    </row>
    <row r="26" spans="1:14">
      <c r="A26" s="43"/>
      <c r="B26" s="43"/>
      <c r="C26" s="43"/>
      <c r="D26" s="43"/>
      <c r="E26" s="43"/>
      <c r="F26" s="43"/>
      <c r="G26" s="43"/>
      <c r="H26" s="43"/>
      <c r="I26" s="43"/>
      <c r="J26" s="43"/>
      <c r="K26" s="43"/>
      <c r="L26" s="43"/>
      <c r="M26" s="43"/>
      <c r="N26" s="43"/>
    </row>
    <row r="27" spans="1:14">
      <c r="A27" s="43"/>
      <c r="B27" s="43"/>
      <c r="C27" s="43"/>
      <c r="D27" s="43"/>
      <c r="E27" s="43"/>
      <c r="F27" s="43"/>
      <c r="G27" s="43"/>
      <c r="H27" s="43"/>
      <c r="I27" s="43"/>
      <c r="J27" s="43"/>
      <c r="K27" s="43"/>
      <c r="L27" s="43"/>
      <c r="M27" s="43"/>
      <c r="N27" s="43"/>
    </row>
    <row r="28" spans="1:14">
      <c r="A28" s="43"/>
      <c r="B28" s="43"/>
      <c r="C28" s="43"/>
      <c r="D28" s="43"/>
      <c r="E28" s="43"/>
      <c r="F28" s="43"/>
      <c r="G28" s="43"/>
      <c r="H28" s="43"/>
      <c r="I28" s="43"/>
      <c r="J28" s="43"/>
      <c r="K28" s="43"/>
      <c r="L28" s="43"/>
      <c r="M28" s="43"/>
      <c r="N28" s="43"/>
    </row>
    <row r="29" spans="1:14">
      <c r="A29" s="43"/>
      <c r="B29" s="43"/>
      <c r="C29" s="43"/>
      <c r="D29" s="43"/>
      <c r="E29" s="43"/>
      <c r="F29" s="43"/>
      <c r="G29" s="43"/>
      <c r="H29" s="43"/>
      <c r="I29" s="43"/>
      <c r="J29" s="43"/>
      <c r="K29" s="43"/>
      <c r="L29" s="43"/>
      <c r="M29" s="43"/>
      <c r="N29" s="43"/>
    </row>
    <row r="30" spans="1:14">
      <c r="A30" s="43"/>
      <c r="B30" s="43"/>
      <c r="C30" s="43"/>
      <c r="D30" s="43"/>
      <c r="E30" s="43"/>
      <c r="F30" s="43"/>
      <c r="G30" s="43"/>
      <c r="H30" s="43"/>
      <c r="I30" s="43"/>
      <c r="J30" s="43"/>
      <c r="K30" s="43"/>
      <c r="L30" s="43"/>
      <c r="M30" s="43"/>
      <c r="N30" s="43"/>
    </row>
    <row r="31" spans="1:14">
      <c r="A31" s="43"/>
      <c r="B31" s="43"/>
      <c r="C31" s="43"/>
      <c r="D31" s="43"/>
      <c r="E31" s="43"/>
      <c r="F31" s="43"/>
      <c r="G31" s="43"/>
      <c r="H31" s="43"/>
      <c r="I31" s="43"/>
      <c r="J31" s="43"/>
      <c r="K31" s="43"/>
      <c r="L31" s="43"/>
      <c r="M31" s="43"/>
      <c r="N31" s="43"/>
    </row>
    <row r="32" spans="1:14">
      <c r="A32" s="43"/>
      <c r="B32" s="43"/>
      <c r="C32" s="43"/>
      <c r="D32" s="43"/>
      <c r="E32" s="43"/>
      <c r="F32" s="43"/>
      <c r="G32" s="43"/>
      <c r="H32" s="43"/>
      <c r="I32" s="43"/>
      <c r="J32" s="43"/>
      <c r="K32" s="43"/>
      <c r="L32" s="43"/>
      <c r="M32" s="43"/>
      <c r="N32" s="43"/>
    </row>
    <row r="33" spans="1:14" ht="18.75">
      <c r="A33" s="45" t="str">
        <f>'2. Inputs and results'!B19</f>
        <v>One measure</v>
      </c>
      <c r="B33" s="43"/>
      <c r="D33" s="43"/>
      <c r="E33" s="45" t="str">
        <f>'2. Inputs and results'!C19</f>
        <v>Group procurement of the measure</v>
      </c>
      <c r="F33" s="43"/>
      <c r="G33" s="43"/>
      <c r="H33" s="43"/>
      <c r="I33" s="43"/>
      <c r="J33" s="43"/>
      <c r="K33" s="43"/>
      <c r="L33" s="43"/>
      <c r="M33" s="43"/>
      <c r="N33" s="43"/>
    </row>
    <row r="34" spans="1:14">
      <c r="A34" s="43"/>
      <c r="B34" s="43"/>
      <c r="C34" s="43"/>
      <c r="D34" s="43"/>
      <c r="E34" s="43"/>
      <c r="F34" s="43"/>
      <c r="G34" s="43"/>
      <c r="H34" s="43"/>
      <c r="I34" s="43"/>
      <c r="J34" s="43"/>
      <c r="K34" s="43"/>
      <c r="L34" s="43"/>
      <c r="M34" s="43"/>
      <c r="N34" s="43"/>
    </row>
    <row r="35" spans="1:14">
      <c r="A35" s="43"/>
      <c r="B35" s="43"/>
      <c r="C35" s="43"/>
      <c r="D35" s="43"/>
      <c r="E35" s="43"/>
      <c r="F35" s="43"/>
      <c r="G35" s="43"/>
      <c r="H35" s="43"/>
      <c r="I35" s="43"/>
      <c r="J35" s="43"/>
      <c r="K35" s="43"/>
      <c r="L35" s="43"/>
      <c r="M35" s="43"/>
      <c r="N35" s="43"/>
    </row>
    <row r="36" spans="1:14">
      <c r="A36" s="43"/>
      <c r="B36" s="43"/>
      <c r="C36" s="43"/>
      <c r="D36" s="43"/>
      <c r="E36" s="43"/>
      <c r="F36" s="43"/>
      <c r="G36" s="43"/>
      <c r="H36" s="43"/>
      <c r="I36" s="43"/>
      <c r="J36" s="43"/>
      <c r="K36" s="43"/>
      <c r="L36" s="43"/>
      <c r="M36" s="43"/>
      <c r="N36" s="43"/>
    </row>
    <row r="37" spans="1:14">
      <c r="A37" s="43"/>
      <c r="B37" s="43"/>
      <c r="C37" s="43"/>
      <c r="D37" s="43"/>
      <c r="E37" s="43"/>
      <c r="F37" s="43"/>
      <c r="G37" s="43"/>
      <c r="H37" s="43"/>
      <c r="I37" s="43"/>
      <c r="J37" s="43"/>
      <c r="K37" s="43"/>
      <c r="L37" s="43"/>
      <c r="M37" s="43"/>
      <c r="N37" s="43"/>
    </row>
    <row r="38" spans="1:14">
      <c r="A38" s="43"/>
      <c r="B38" s="43"/>
      <c r="C38" s="43"/>
      <c r="D38" s="43"/>
      <c r="E38" s="43"/>
      <c r="F38" s="43"/>
      <c r="G38" s="43"/>
      <c r="H38" s="43"/>
      <c r="I38" s="43"/>
      <c r="J38" s="43"/>
      <c r="K38" s="43"/>
      <c r="L38" s="43"/>
      <c r="M38" s="43"/>
      <c r="N38" s="43"/>
    </row>
    <row r="39" spans="1:14">
      <c r="A39" s="43"/>
      <c r="B39" s="43"/>
      <c r="C39" s="43"/>
      <c r="D39" s="43"/>
      <c r="E39" s="43"/>
      <c r="F39" s="43"/>
      <c r="G39" s="43"/>
      <c r="H39" s="43"/>
      <c r="I39" s="43"/>
      <c r="J39" s="43"/>
      <c r="K39" s="43"/>
      <c r="L39" s="43"/>
      <c r="M39" s="43"/>
      <c r="N39" s="43"/>
    </row>
    <row r="40" spans="1:14">
      <c r="A40" s="43"/>
      <c r="B40" s="43"/>
      <c r="C40" s="43"/>
      <c r="D40" s="43"/>
      <c r="E40" s="43"/>
      <c r="F40" s="43"/>
      <c r="G40" s="43"/>
      <c r="H40" s="43"/>
      <c r="I40" s="43"/>
      <c r="J40" s="43"/>
      <c r="K40" s="43"/>
      <c r="L40" s="43"/>
      <c r="M40" s="43"/>
      <c r="N40" s="43"/>
    </row>
    <row r="41" spans="1:14">
      <c r="A41" s="43"/>
      <c r="B41" s="43"/>
      <c r="C41" s="43"/>
      <c r="D41" s="43"/>
      <c r="E41" s="43"/>
      <c r="F41" s="43"/>
      <c r="G41" s="43"/>
      <c r="H41" s="43"/>
      <c r="I41" s="43"/>
      <c r="J41" s="43"/>
      <c r="K41" s="43"/>
      <c r="L41" s="43"/>
      <c r="M41" s="43"/>
      <c r="N41" s="43"/>
    </row>
    <row r="42" spans="1:14">
      <c r="A42" s="43"/>
      <c r="B42" s="43"/>
      <c r="C42" s="43"/>
      <c r="D42" s="43"/>
      <c r="E42" s="43"/>
      <c r="F42" s="43"/>
      <c r="G42" s="43"/>
      <c r="H42" s="43"/>
      <c r="I42" s="43"/>
      <c r="J42" s="43"/>
      <c r="K42" s="43"/>
      <c r="L42" s="43"/>
      <c r="M42" s="43"/>
      <c r="N42" s="43"/>
    </row>
    <row r="43" spans="1:14">
      <c r="A43" s="43"/>
      <c r="B43" s="43"/>
      <c r="C43" s="43"/>
      <c r="D43" s="43"/>
      <c r="E43" s="43"/>
      <c r="F43" s="43"/>
      <c r="G43" s="43"/>
      <c r="H43" s="43"/>
      <c r="I43" s="43"/>
      <c r="J43" s="43"/>
      <c r="K43" s="43"/>
      <c r="L43" s="43"/>
      <c r="M43" s="43"/>
      <c r="N43" s="43"/>
    </row>
    <row r="44" spans="1:14">
      <c r="A44" s="43"/>
      <c r="B44" s="43"/>
      <c r="C44" s="43"/>
      <c r="D44" s="43"/>
      <c r="E44" s="43"/>
      <c r="F44" s="43"/>
      <c r="G44" s="43"/>
      <c r="H44" s="43"/>
      <c r="I44" s="43"/>
      <c r="J44" s="43"/>
      <c r="K44" s="43"/>
      <c r="L44" s="43"/>
      <c r="M44" s="43"/>
      <c r="N44" s="43"/>
    </row>
    <row r="45" spans="1:14">
      <c r="A45" s="43"/>
      <c r="B45" s="43"/>
      <c r="C45" s="43"/>
      <c r="D45" s="43"/>
      <c r="E45" s="43"/>
      <c r="F45" s="43"/>
      <c r="G45" s="43"/>
      <c r="H45" s="43"/>
      <c r="I45" s="43"/>
      <c r="J45" s="43"/>
      <c r="K45" s="43"/>
      <c r="L45" s="43"/>
      <c r="M45" s="43"/>
      <c r="N45" s="43"/>
    </row>
    <row r="46" spans="1:14">
      <c r="A46" s="43"/>
      <c r="B46" s="43"/>
      <c r="C46" s="43"/>
      <c r="D46" s="43"/>
      <c r="E46" s="43"/>
      <c r="F46" s="43"/>
      <c r="G46" s="43"/>
      <c r="H46" s="43"/>
      <c r="I46" s="43"/>
      <c r="J46" s="43"/>
      <c r="K46" s="43"/>
      <c r="L46" s="43"/>
      <c r="M46" s="43"/>
      <c r="N46" s="43"/>
    </row>
    <row r="47" spans="1:14">
      <c r="A47" s="43"/>
      <c r="B47" s="43"/>
      <c r="C47" s="43"/>
      <c r="D47" s="43"/>
      <c r="E47" s="43"/>
      <c r="F47" s="43"/>
      <c r="G47" s="43"/>
      <c r="H47" s="43"/>
      <c r="I47" s="43"/>
      <c r="J47" s="43"/>
      <c r="K47" s="43"/>
      <c r="L47" s="43"/>
      <c r="M47" s="43"/>
      <c r="N47" s="43"/>
    </row>
    <row r="48" spans="1:14">
      <c r="A48" s="43"/>
      <c r="B48" s="43"/>
      <c r="C48" s="43"/>
      <c r="D48" s="43"/>
      <c r="E48" s="43"/>
      <c r="F48" s="43"/>
      <c r="G48" s="43"/>
      <c r="H48" s="43"/>
      <c r="I48" s="43"/>
      <c r="J48" s="43"/>
      <c r="K48" s="43"/>
      <c r="L48" s="43"/>
      <c r="M48" s="43"/>
      <c r="N48" s="43"/>
    </row>
    <row r="49" spans="1:14">
      <c r="A49" s="43"/>
      <c r="B49" s="43"/>
      <c r="C49" s="43"/>
      <c r="D49" s="43"/>
      <c r="E49" s="43"/>
      <c r="F49" s="43"/>
      <c r="G49" s="43"/>
      <c r="H49" s="43"/>
      <c r="I49" s="43"/>
      <c r="J49" s="43"/>
      <c r="K49" s="43"/>
      <c r="L49" s="43"/>
      <c r="M49" s="43"/>
      <c r="N49" s="43"/>
    </row>
    <row r="50" spans="1:14">
      <c r="A50" s="43"/>
      <c r="B50" s="43"/>
      <c r="C50" s="43"/>
      <c r="D50" s="43"/>
      <c r="E50" s="43"/>
      <c r="F50" s="43"/>
      <c r="G50" s="43"/>
      <c r="H50" s="43"/>
      <c r="I50" s="43"/>
      <c r="J50" s="43"/>
      <c r="K50" s="43"/>
      <c r="L50" s="43"/>
      <c r="M50" s="43"/>
      <c r="N50" s="43"/>
    </row>
    <row r="51" spans="1:14">
      <c r="A51" s="43"/>
      <c r="B51" s="43"/>
      <c r="C51" s="43"/>
      <c r="D51" s="43"/>
      <c r="E51" s="43"/>
      <c r="F51" s="43"/>
      <c r="G51" s="43"/>
      <c r="H51" s="43"/>
      <c r="I51" s="43"/>
      <c r="J51" s="43"/>
      <c r="K51" s="43"/>
      <c r="L51" s="43"/>
      <c r="M51" s="43"/>
      <c r="N51" s="43"/>
    </row>
    <row r="52" spans="1:14">
      <c r="A52" s="43"/>
      <c r="B52" s="43"/>
      <c r="C52" s="43"/>
      <c r="D52" s="43"/>
      <c r="E52" s="43"/>
      <c r="F52" s="43"/>
      <c r="G52" s="43"/>
      <c r="H52" s="43"/>
      <c r="I52" s="43"/>
      <c r="J52" s="43"/>
      <c r="K52" s="43"/>
      <c r="L52" s="43"/>
      <c r="M52" s="43"/>
      <c r="N52" s="43"/>
    </row>
    <row r="53" spans="1:14">
      <c r="A53" s="43"/>
      <c r="B53" s="43"/>
      <c r="C53" s="43"/>
      <c r="D53" s="43"/>
      <c r="E53" s="43"/>
      <c r="F53" s="43"/>
      <c r="G53" s="43"/>
      <c r="H53" s="43"/>
      <c r="I53" s="43"/>
      <c r="J53" s="43"/>
      <c r="K53" s="43"/>
      <c r="L53" s="43"/>
      <c r="M53" s="43"/>
      <c r="N53" s="43"/>
    </row>
    <row r="54" spans="1:14">
      <c r="A54" s="43"/>
      <c r="B54" s="43"/>
      <c r="C54" s="43"/>
      <c r="D54" s="43"/>
      <c r="E54" s="43"/>
      <c r="F54" s="43"/>
      <c r="G54" s="43"/>
      <c r="H54" s="43"/>
      <c r="I54" s="43"/>
      <c r="J54" s="43"/>
      <c r="K54" s="43"/>
      <c r="L54" s="43"/>
      <c r="M54" s="43"/>
      <c r="N54" s="43"/>
    </row>
    <row r="55" spans="1:14" ht="18.75">
      <c r="A55" s="45" t="str">
        <f>'2. Inputs and results'!B19</f>
        <v>One measure</v>
      </c>
      <c r="B55" s="43"/>
      <c r="D55" s="43"/>
      <c r="E55" s="45" t="str">
        <f>'2. Inputs and results'!C19</f>
        <v>Group procurement of the measure</v>
      </c>
      <c r="F55" s="43"/>
      <c r="G55" s="43"/>
      <c r="H55" s="43"/>
      <c r="I55" s="43"/>
      <c r="J55" s="43"/>
      <c r="K55" s="43"/>
      <c r="L55" s="43"/>
      <c r="M55" s="43"/>
      <c r="N55" s="43"/>
    </row>
    <row r="56" spans="1:14">
      <c r="A56" s="43"/>
      <c r="B56" s="43"/>
      <c r="C56" s="43"/>
      <c r="D56" s="43"/>
      <c r="E56" s="43"/>
      <c r="F56" s="43"/>
      <c r="G56" s="43"/>
      <c r="H56" s="43"/>
      <c r="I56" s="43"/>
      <c r="J56" s="43"/>
      <c r="K56" s="43"/>
      <c r="L56" s="43"/>
      <c r="M56" s="43"/>
      <c r="N56" s="43"/>
    </row>
    <row r="57" spans="1:14">
      <c r="A57" s="43"/>
      <c r="B57" s="43"/>
      <c r="C57" s="43"/>
      <c r="D57" s="43"/>
      <c r="E57" s="43"/>
      <c r="F57" s="43"/>
      <c r="G57" s="43"/>
      <c r="H57" s="43"/>
      <c r="I57" s="43"/>
      <c r="J57" s="43"/>
      <c r="K57" s="43"/>
      <c r="L57" s="43"/>
      <c r="M57" s="43"/>
      <c r="N57" s="43"/>
    </row>
    <row r="58" spans="1:14">
      <c r="A58" s="43"/>
      <c r="B58" s="43"/>
      <c r="C58" s="43"/>
      <c r="D58" s="43"/>
      <c r="E58" s="43"/>
      <c r="F58" s="43"/>
      <c r="G58" s="43"/>
      <c r="H58" s="43"/>
      <c r="I58" s="43"/>
      <c r="J58" s="43"/>
      <c r="K58" s="43"/>
      <c r="L58" s="43"/>
      <c r="M58" s="43"/>
      <c r="N58" s="43"/>
    </row>
    <row r="59" spans="1:14">
      <c r="A59" s="43"/>
      <c r="B59" s="43"/>
      <c r="C59" s="43"/>
      <c r="D59" s="43"/>
      <c r="E59" s="43"/>
      <c r="F59" s="43"/>
      <c r="G59" s="43"/>
      <c r="H59" s="43"/>
      <c r="I59" s="43"/>
      <c r="J59" s="43"/>
      <c r="K59" s="43"/>
      <c r="L59" s="43"/>
      <c r="M59" s="43"/>
      <c r="N59" s="43"/>
    </row>
    <row r="60" spans="1:14">
      <c r="A60" s="43"/>
      <c r="B60" s="43"/>
      <c r="C60" s="43"/>
      <c r="D60" s="43"/>
      <c r="E60" s="43"/>
      <c r="F60" s="43"/>
      <c r="G60" s="43"/>
      <c r="H60" s="43"/>
      <c r="I60" s="43"/>
      <c r="J60" s="43"/>
      <c r="K60" s="43"/>
      <c r="L60" s="43"/>
      <c r="M60" s="43"/>
      <c r="N60" s="43"/>
    </row>
    <row r="61" spans="1:14">
      <c r="A61" s="43"/>
      <c r="B61" s="43"/>
      <c r="C61" s="43"/>
      <c r="D61" s="43"/>
      <c r="E61" s="43"/>
      <c r="F61" s="43"/>
      <c r="G61" s="43"/>
      <c r="H61" s="43"/>
      <c r="I61" s="43"/>
      <c r="J61" s="43"/>
      <c r="K61" s="43"/>
      <c r="L61" s="43"/>
      <c r="M61" s="43"/>
      <c r="N61" s="43"/>
    </row>
    <row r="62" spans="1:14">
      <c r="A62" s="43"/>
      <c r="B62" s="43"/>
      <c r="C62" s="43"/>
      <c r="D62" s="43"/>
      <c r="E62" s="43"/>
      <c r="F62" s="43"/>
      <c r="G62" s="43"/>
      <c r="H62" s="43"/>
      <c r="I62" s="43"/>
      <c r="J62" s="43"/>
      <c r="K62" s="43"/>
      <c r="L62" s="43"/>
      <c r="M62" s="43"/>
      <c r="N62" s="43"/>
    </row>
    <row r="63" spans="1:14">
      <c r="A63" s="43"/>
      <c r="B63" s="43"/>
      <c r="C63" s="43"/>
      <c r="D63" s="43"/>
      <c r="E63" s="43"/>
      <c r="F63" s="43"/>
      <c r="G63" s="43"/>
      <c r="H63" s="43"/>
      <c r="I63" s="43"/>
      <c r="J63" s="43"/>
      <c r="K63" s="43"/>
      <c r="L63" s="43"/>
      <c r="M63" s="43"/>
      <c r="N63" s="43"/>
    </row>
    <row r="64" spans="1:14">
      <c r="A64" s="43"/>
      <c r="B64" s="43"/>
      <c r="C64" s="43"/>
      <c r="D64" s="43"/>
      <c r="E64" s="43"/>
      <c r="F64" s="43"/>
      <c r="G64" s="43"/>
      <c r="H64" s="43"/>
      <c r="I64" s="43"/>
      <c r="J64" s="43"/>
      <c r="K64" s="43"/>
      <c r="L64" s="43"/>
      <c r="M64" s="43"/>
      <c r="N64" s="43"/>
    </row>
    <row r="65" spans="1:14">
      <c r="A65" s="43"/>
      <c r="B65" s="43"/>
      <c r="C65" s="43"/>
      <c r="D65" s="43"/>
      <c r="E65" s="43"/>
      <c r="F65" s="43"/>
      <c r="G65" s="43"/>
      <c r="H65" s="43"/>
      <c r="I65" s="43"/>
      <c r="J65" s="43"/>
      <c r="K65" s="43"/>
      <c r="L65" s="43"/>
      <c r="M65" s="43"/>
      <c r="N65" s="43"/>
    </row>
    <row r="66" spans="1:14">
      <c r="A66" s="43"/>
      <c r="B66" s="43"/>
      <c r="C66" s="43"/>
      <c r="D66" s="43"/>
      <c r="E66" s="43"/>
      <c r="F66" s="43"/>
      <c r="G66" s="43"/>
      <c r="H66" s="43"/>
      <c r="I66" s="43"/>
      <c r="J66" s="43"/>
      <c r="K66" s="43"/>
      <c r="L66" s="43"/>
      <c r="M66" s="43"/>
      <c r="N66" s="43"/>
    </row>
    <row r="67" spans="1:14">
      <c r="A67" s="43"/>
      <c r="B67" s="43"/>
      <c r="C67" s="43"/>
      <c r="D67" s="43"/>
      <c r="E67" s="43"/>
      <c r="F67" s="43"/>
      <c r="G67" s="43"/>
      <c r="H67" s="43"/>
      <c r="I67" s="43"/>
      <c r="J67" s="43"/>
      <c r="K67" s="43"/>
      <c r="L67" s="43"/>
      <c r="M67" s="43"/>
      <c r="N67" s="43"/>
    </row>
    <row r="68" spans="1:14">
      <c r="A68" s="43"/>
      <c r="B68" s="43"/>
      <c r="C68" s="43"/>
      <c r="D68" s="43"/>
      <c r="E68" s="43"/>
      <c r="F68" s="43"/>
      <c r="G68" s="43"/>
      <c r="H68" s="43"/>
      <c r="I68" s="43"/>
      <c r="J68" s="43"/>
      <c r="K68" s="43"/>
      <c r="L68" s="43"/>
      <c r="M68" s="43"/>
      <c r="N68" s="43"/>
    </row>
    <row r="69" spans="1:14">
      <c r="A69" s="43"/>
      <c r="B69" s="43"/>
      <c r="C69" s="43"/>
      <c r="D69" s="43"/>
      <c r="E69" s="43"/>
      <c r="F69" s="43"/>
      <c r="G69" s="43"/>
      <c r="H69" s="43"/>
      <c r="I69" s="43"/>
      <c r="J69" s="43"/>
      <c r="K69" s="43"/>
      <c r="L69" s="43"/>
      <c r="M69" s="43"/>
      <c r="N69" s="43"/>
    </row>
    <row r="70" spans="1:14">
      <c r="A70" s="43"/>
      <c r="B70" s="43"/>
      <c r="C70" s="43"/>
      <c r="D70" s="43"/>
      <c r="E70" s="43"/>
      <c r="F70" s="43"/>
      <c r="G70" s="43"/>
      <c r="H70" s="43"/>
      <c r="I70" s="43"/>
      <c r="J70" s="43"/>
      <c r="K70" s="43"/>
      <c r="L70" s="43"/>
      <c r="M70" s="43"/>
      <c r="N70" s="43"/>
    </row>
    <row r="71" spans="1:14">
      <c r="A71" s="43"/>
      <c r="B71" s="43"/>
      <c r="C71" s="43"/>
      <c r="D71" s="43"/>
      <c r="E71" s="43"/>
      <c r="F71" s="43"/>
      <c r="G71" s="43"/>
      <c r="H71" s="43"/>
      <c r="I71" s="43"/>
      <c r="J71" s="43"/>
      <c r="K71" s="43"/>
      <c r="L71" s="43"/>
      <c r="M71" s="43"/>
      <c r="N71" s="43"/>
    </row>
    <row r="72" spans="1:14">
      <c r="A72" s="43"/>
      <c r="B72" s="43"/>
      <c r="C72" s="43"/>
      <c r="D72" s="43"/>
      <c r="E72" s="43"/>
      <c r="F72" s="43"/>
      <c r="G72" s="43"/>
      <c r="H72" s="43"/>
      <c r="I72" s="43"/>
      <c r="J72" s="43"/>
      <c r="K72" s="43"/>
      <c r="L72" s="43"/>
      <c r="M72" s="43"/>
      <c r="N72" s="43"/>
    </row>
    <row r="73" spans="1:14">
      <c r="A73" s="43"/>
      <c r="B73" s="43"/>
      <c r="C73" s="43"/>
      <c r="D73" s="43"/>
      <c r="E73" s="43"/>
      <c r="F73" s="43"/>
      <c r="G73" s="43"/>
      <c r="H73" s="43"/>
      <c r="I73" s="43"/>
      <c r="J73" s="43"/>
      <c r="K73" s="43"/>
      <c r="L73" s="43"/>
      <c r="M73" s="43"/>
      <c r="N73" s="43"/>
    </row>
    <row r="74" spans="1:14">
      <c r="A74" s="43"/>
      <c r="B74" s="43"/>
      <c r="C74" s="43"/>
      <c r="D74" s="43"/>
      <c r="E74" s="43"/>
      <c r="F74" s="43"/>
      <c r="G74" s="43"/>
      <c r="H74" s="43"/>
      <c r="I74" s="43"/>
      <c r="J74" s="43"/>
      <c r="K74" s="43"/>
      <c r="L74" s="43"/>
      <c r="M74" s="43"/>
      <c r="N74" s="43"/>
    </row>
    <row r="75" spans="1:14">
      <c r="A75" s="43"/>
      <c r="B75" s="43"/>
      <c r="C75" s="43"/>
      <c r="D75" s="43"/>
      <c r="E75" s="43"/>
      <c r="F75" s="43"/>
      <c r="G75" s="43"/>
      <c r="H75" s="43"/>
      <c r="I75" s="43"/>
      <c r="J75" s="43"/>
      <c r="K75" s="43"/>
      <c r="L75" s="43"/>
      <c r="M75" s="43"/>
      <c r="N75" s="43"/>
    </row>
    <row r="76" spans="1:14">
      <c r="A76" s="43"/>
      <c r="B76" s="43"/>
      <c r="C76" s="43"/>
      <c r="D76" s="43"/>
      <c r="E76" s="43"/>
      <c r="F76" s="43"/>
      <c r="G76" s="43"/>
      <c r="H76" s="43"/>
      <c r="I76" s="43"/>
      <c r="J76" s="43"/>
      <c r="K76" s="43"/>
      <c r="L76" s="43"/>
      <c r="M76" s="43"/>
      <c r="N76" s="43"/>
    </row>
    <row r="77" spans="1:14">
      <c r="A77" s="43"/>
      <c r="B77" s="43"/>
      <c r="C77" s="43"/>
      <c r="D77" s="43"/>
      <c r="E77" s="43"/>
      <c r="F77" s="43"/>
      <c r="G77" s="43"/>
      <c r="H77" s="43"/>
      <c r="I77" s="43"/>
      <c r="J77" s="43"/>
      <c r="K77" s="43"/>
      <c r="L77" s="43"/>
      <c r="M77" s="43"/>
      <c r="N77" s="43"/>
    </row>
    <row r="78" spans="1:14">
      <c r="A78" s="43"/>
      <c r="B78" s="43"/>
      <c r="C78" s="43"/>
      <c r="D78" s="43"/>
      <c r="E78" s="43"/>
      <c r="F78" s="43"/>
      <c r="G78" s="43"/>
      <c r="H78" s="43"/>
      <c r="I78" s="43"/>
      <c r="J78" s="43"/>
      <c r="K78" s="43"/>
      <c r="L78" s="43"/>
      <c r="M78" s="43"/>
      <c r="N78" s="43"/>
    </row>
    <row r="79" spans="1:14">
      <c r="A79" s="43"/>
      <c r="B79" s="43"/>
      <c r="C79" s="43"/>
      <c r="D79" s="43"/>
      <c r="E79" s="43"/>
      <c r="F79" s="43"/>
      <c r="G79" s="43"/>
      <c r="H79" s="43"/>
      <c r="I79" s="43"/>
      <c r="J79" s="43"/>
      <c r="K79" s="43"/>
      <c r="L79" s="43"/>
      <c r="M79" s="43"/>
      <c r="N79" s="43"/>
    </row>
    <row r="80" spans="1:14">
      <c r="A80" s="43"/>
      <c r="B80" s="43"/>
      <c r="C80" s="43"/>
      <c r="D80" s="43"/>
      <c r="E80" s="43"/>
      <c r="F80" s="43"/>
      <c r="G80" s="43"/>
      <c r="H80" s="43"/>
      <c r="I80" s="43"/>
      <c r="J80" s="43"/>
      <c r="K80" s="43"/>
      <c r="L80" s="43"/>
      <c r="M80" s="43"/>
      <c r="N80" s="43"/>
    </row>
    <row r="81" spans="1:14">
      <c r="A81" s="43"/>
      <c r="B81" s="43"/>
      <c r="C81" s="43"/>
      <c r="D81" s="43"/>
      <c r="E81" s="43"/>
      <c r="F81" s="43"/>
      <c r="G81" s="43"/>
      <c r="H81" s="43"/>
      <c r="I81" s="43"/>
      <c r="J81" s="43"/>
      <c r="K81" s="43"/>
      <c r="L81" s="43"/>
      <c r="M81" s="43"/>
      <c r="N81" s="43"/>
    </row>
    <row r="82" spans="1:14">
      <c r="B82" s="43"/>
      <c r="D82" s="43"/>
      <c r="F82" s="43"/>
      <c r="G82" s="43"/>
      <c r="H82" s="43"/>
      <c r="I82" s="43"/>
      <c r="J82" s="43"/>
      <c r="K82" s="43"/>
      <c r="L82" s="43"/>
      <c r="M82" s="43"/>
      <c r="N82" s="43"/>
    </row>
    <row r="83" spans="1:14">
      <c r="A83" s="43"/>
      <c r="B83" s="43"/>
      <c r="C83" s="43"/>
      <c r="D83" s="43"/>
      <c r="E83" s="43"/>
      <c r="F83" s="43"/>
      <c r="G83" s="43"/>
      <c r="H83" s="43"/>
      <c r="I83" s="43"/>
      <c r="J83" s="43"/>
      <c r="K83" s="43"/>
      <c r="L83" s="43"/>
      <c r="M83" s="43"/>
      <c r="N83" s="43"/>
    </row>
    <row r="84" spans="1:14">
      <c r="A84" s="43"/>
      <c r="B84" s="43"/>
      <c r="C84" s="43"/>
      <c r="D84" s="43"/>
      <c r="E84" s="43"/>
      <c r="F84" s="43"/>
      <c r="G84" s="43"/>
      <c r="H84" s="43"/>
      <c r="I84" s="43"/>
      <c r="J84" s="43"/>
      <c r="K84" s="43"/>
      <c r="L84" s="43"/>
      <c r="M84" s="43"/>
      <c r="N84" s="43"/>
    </row>
    <row r="85" spans="1:14">
      <c r="A85" s="43"/>
      <c r="B85" s="43"/>
      <c r="C85" s="43"/>
      <c r="D85" s="43"/>
      <c r="E85" s="43"/>
      <c r="F85" s="43"/>
      <c r="G85" s="43"/>
      <c r="H85" s="43"/>
      <c r="I85" s="43"/>
      <c r="J85" s="43"/>
      <c r="K85" s="43"/>
      <c r="L85" s="43"/>
      <c r="M85" s="43"/>
      <c r="N85" s="43"/>
    </row>
    <row r="86" spans="1:14" ht="18.75">
      <c r="A86" s="45" t="str">
        <f>'2. Inputs and results'!B19</f>
        <v>One measure</v>
      </c>
      <c r="B86" s="43"/>
      <c r="C86" s="43"/>
      <c r="D86" s="43"/>
      <c r="E86" s="45" t="str">
        <f>'2. Inputs and results'!C19</f>
        <v>Group procurement of the measure</v>
      </c>
      <c r="F86" s="43"/>
      <c r="G86" s="43"/>
      <c r="H86" s="43"/>
      <c r="I86" s="43"/>
      <c r="J86" s="43"/>
      <c r="K86" s="43"/>
      <c r="L86" s="43"/>
      <c r="M86" s="43"/>
      <c r="N86" s="43"/>
    </row>
    <row r="87" spans="1:14">
      <c r="A87" s="43"/>
      <c r="B87" s="43"/>
      <c r="C87" s="43"/>
      <c r="D87" s="43"/>
      <c r="E87" s="43"/>
      <c r="F87" s="43"/>
      <c r="G87" s="43"/>
      <c r="H87" s="43"/>
      <c r="I87" s="43"/>
      <c r="J87" s="43"/>
      <c r="K87" s="43"/>
      <c r="L87" s="43"/>
      <c r="M87" s="43"/>
      <c r="N87" s="43"/>
    </row>
    <row r="88" spans="1:14">
      <c r="A88" s="43"/>
      <c r="B88" s="43"/>
      <c r="C88" s="43"/>
      <c r="D88" s="43"/>
      <c r="E88" s="43"/>
      <c r="F88" s="43"/>
      <c r="G88" s="43"/>
      <c r="H88" s="43"/>
      <c r="I88" s="43"/>
      <c r="J88" s="43"/>
      <c r="K88" s="43"/>
      <c r="L88" s="43"/>
      <c r="M88" s="43"/>
      <c r="N88" s="43"/>
    </row>
    <row r="89" spans="1:14">
      <c r="A89" s="43"/>
      <c r="B89" s="43"/>
      <c r="C89" s="43"/>
      <c r="D89" s="43"/>
      <c r="E89" s="43"/>
      <c r="F89" s="43"/>
      <c r="G89" s="43"/>
      <c r="H89" s="43"/>
      <c r="I89" s="43"/>
      <c r="J89" s="43"/>
      <c r="K89" s="43"/>
      <c r="L89" s="43"/>
      <c r="M89" s="43"/>
      <c r="N89" s="43"/>
    </row>
    <row r="90" spans="1:14">
      <c r="A90" s="43"/>
      <c r="B90" s="43"/>
      <c r="C90" s="43"/>
      <c r="D90" s="43"/>
      <c r="E90" s="43"/>
      <c r="F90" s="43"/>
      <c r="G90" s="43"/>
      <c r="H90" s="43"/>
      <c r="I90" s="43"/>
      <c r="J90" s="43"/>
      <c r="K90" s="43"/>
      <c r="L90" s="43"/>
      <c r="M90" s="43"/>
      <c r="N90" s="43"/>
    </row>
    <row r="91" spans="1:14">
      <c r="A91" s="43"/>
      <c r="B91" s="43"/>
      <c r="C91" s="43"/>
      <c r="D91" s="43"/>
      <c r="E91" s="43"/>
      <c r="F91" s="43"/>
      <c r="G91" s="43"/>
      <c r="H91" s="43"/>
      <c r="I91" s="43"/>
      <c r="J91" s="43"/>
      <c r="K91" s="43"/>
      <c r="L91" s="43"/>
      <c r="M91" s="43"/>
      <c r="N91" s="43"/>
    </row>
    <row r="92" spans="1:14">
      <c r="A92" s="43"/>
      <c r="B92" s="43"/>
      <c r="C92" s="43"/>
      <c r="D92" s="43"/>
      <c r="E92" s="43"/>
      <c r="F92" s="43"/>
      <c r="G92" s="43"/>
      <c r="H92" s="43"/>
      <c r="I92" s="43"/>
      <c r="J92" s="43"/>
      <c r="K92" s="43"/>
      <c r="L92" s="43"/>
      <c r="M92" s="43"/>
      <c r="N92" s="43"/>
    </row>
    <row r="93" spans="1:14">
      <c r="A93" s="43"/>
      <c r="B93" s="43"/>
      <c r="C93" s="43"/>
      <c r="D93" s="43"/>
      <c r="E93" s="43"/>
      <c r="F93" s="43"/>
      <c r="G93" s="43"/>
      <c r="H93" s="43"/>
      <c r="I93" s="43"/>
      <c r="J93" s="43"/>
      <c r="K93" s="43"/>
      <c r="L93" s="43"/>
      <c r="M93" s="43"/>
      <c r="N93" s="43"/>
    </row>
    <row r="94" spans="1:14">
      <c r="A94" s="43"/>
      <c r="B94" s="43"/>
      <c r="C94" s="43"/>
      <c r="D94" s="43"/>
      <c r="E94" s="43"/>
      <c r="F94" s="43"/>
      <c r="G94" s="43"/>
      <c r="H94" s="43"/>
      <c r="I94" s="43"/>
      <c r="J94" s="43"/>
      <c r="K94" s="43"/>
      <c r="L94" s="43"/>
      <c r="M94" s="43"/>
      <c r="N94" s="43"/>
    </row>
    <row r="95" spans="1:14">
      <c r="A95" s="43"/>
      <c r="B95" s="43"/>
      <c r="C95" s="43"/>
      <c r="D95" s="43"/>
      <c r="E95" s="43"/>
      <c r="F95" s="43"/>
      <c r="G95" s="43"/>
      <c r="H95" s="43"/>
      <c r="I95" s="43"/>
      <c r="J95" s="43"/>
      <c r="K95" s="43"/>
      <c r="L95" s="43"/>
      <c r="M95" s="43"/>
      <c r="N95" s="43"/>
    </row>
    <row r="96" spans="1:14">
      <c r="A96" s="43"/>
      <c r="B96" s="43"/>
      <c r="C96" s="43"/>
      <c r="D96" s="43"/>
      <c r="E96" s="43"/>
      <c r="F96" s="43"/>
      <c r="G96" s="43"/>
      <c r="H96" s="43"/>
      <c r="I96" s="43"/>
      <c r="J96" s="43"/>
      <c r="K96" s="43"/>
      <c r="L96" s="43"/>
      <c r="M96" s="43"/>
      <c r="N96" s="43"/>
    </row>
    <row r="97" spans="1:14">
      <c r="A97" s="43"/>
      <c r="B97" s="43"/>
      <c r="C97" s="43"/>
      <c r="D97" s="43"/>
      <c r="E97" s="43"/>
      <c r="F97" s="43"/>
      <c r="G97" s="43"/>
      <c r="H97" s="43"/>
      <c r="I97" s="43"/>
      <c r="J97" s="43"/>
      <c r="K97" s="43"/>
      <c r="L97" s="43"/>
      <c r="M97" s="43"/>
      <c r="N97" s="43"/>
    </row>
    <row r="98" spans="1:14">
      <c r="A98" s="43"/>
      <c r="B98" s="43"/>
      <c r="C98" s="43"/>
      <c r="D98" s="43"/>
      <c r="E98" s="43"/>
      <c r="F98" s="43"/>
      <c r="G98" s="43"/>
      <c r="H98" s="43"/>
      <c r="I98" s="43"/>
      <c r="J98" s="43"/>
      <c r="K98" s="43"/>
      <c r="L98" s="43"/>
      <c r="M98" s="43"/>
      <c r="N98" s="43"/>
    </row>
    <row r="99" spans="1:14">
      <c r="A99" s="43"/>
      <c r="B99" s="43"/>
      <c r="C99" s="43"/>
      <c r="D99" s="43"/>
      <c r="E99" s="43"/>
      <c r="F99" s="43"/>
      <c r="G99" s="43"/>
      <c r="H99" s="43"/>
      <c r="I99" s="43"/>
      <c r="J99" s="43"/>
      <c r="K99" s="43"/>
      <c r="L99" s="43"/>
      <c r="M99" s="43"/>
      <c r="N99" s="43"/>
    </row>
    <row r="100" spans="1:14">
      <c r="A100" s="43"/>
      <c r="B100" s="43"/>
      <c r="C100" s="43"/>
      <c r="D100" s="43"/>
      <c r="E100" s="43"/>
      <c r="F100" s="43"/>
      <c r="G100" s="43"/>
      <c r="H100" s="43"/>
      <c r="I100" s="43"/>
      <c r="J100" s="43"/>
      <c r="K100" s="43"/>
      <c r="L100" s="43"/>
      <c r="M100" s="43"/>
      <c r="N100" s="43"/>
    </row>
    <row r="101" spans="1:14">
      <c r="A101" s="43"/>
      <c r="B101" s="43"/>
      <c r="C101" s="43"/>
      <c r="D101" s="43"/>
      <c r="E101" s="43"/>
      <c r="F101" s="43"/>
      <c r="G101" s="43"/>
      <c r="H101" s="43"/>
      <c r="I101" s="43"/>
      <c r="J101" s="43"/>
      <c r="K101" s="43"/>
      <c r="L101" s="43"/>
      <c r="M101" s="43"/>
      <c r="N101" s="43"/>
    </row>
    <row r="102" spans="1:14">
      <c r="A102" s="43"/>
      <c r="B102" s="43"/>
      <c r="C102" s="43"/>
      <c r="D102" s="43"/>
      <c r="E102" s="43"/>
      <c r="F102" s="43"/>
      <c r="G102" s="43"/>
      <c r="H102" s="43"/>
      <c r="I102" s="43"/>
      <c r="J102" s="43"/>
      <c r="K102" s="43"/>
      <c r="L102" s="43"/>
      <c r="M102" s="43"/>
      <c r="N102" s="43"/>
    </row>
    <row r="103" spans="1:14">
      <c r="A103" s="43"/>
      <c r="B103" s="43"/>
      <c r="C103" s="43"/>
      <c r="D103" s="43"/>
      <c r="E103" s="43"/>
      <c r="F103" s="43"/>
      <c r="G103" s="43"/>
      <c r="H103" s="43"/>
      <c r="I103" s="43"/>
      <c r="J103" s="43"/>
      <c r="K103" s="43"/>
      <c r="L103" s="43"/>
      <c r="M103" s="43"/>
      <c r="N103" s="43"/>
    </row>
    <row r="104" spans="1:14">
      <c r="A104" s="43"/>
      <c r="B104" s="43"/>
      <c r="C104" s="43"/>
      <c r="D104" s="43"/>
      <c r="E104" s="43"/>
      <c r="F104" s="43"/>
      <c r="G104" s="43"/>
      <c r="H104" s="43"/>
      <c r="I104" s="43"/>
      <c r="J104" s="43"/>
      <c r="K104" s="43"/>
      <c r="L104" s="43"/>
      <c r="M104" s="43"/>
      <c r="N104" s="43"/>
    </row>
    <row r="105" spans="1:14">
      <c r="A105" s="43"/>
      <c r="B105" s="43"/>
      <c r="C105" s="43"/>
      <c r="D105" s="43"/>
      <c r="E105" s="43"/>
      <c r="F105" s="43"/>
      <c r="G105" s="43"/>
      <c r="H105" s="43"/>
      <c r="I105" s="43"/>
      <c r="J105" s="43"/>
      <c r="K105" s="43"/>
      <c r="L105" s="43"/>
      <c r="M105" s="43"/>
      <c r="N105" s="43"/>
    </row>
    <row r="106" spans="1:14">
      <c r="A106" s="43"/>
      <c r="B106" s="43"/>
      <c r="C106" s="43"/>
      <c r="D106" s="43"/>
      <c r="E106" s="43"/>
      <c r="F106" s="43"/>
      <c r="G106" s="43"/>
      <c r="H106" s="43"/>
      <c r="I106" s="43"/>
      <c r="J106" s="43"/>
      <c r="K106" s="43"/>
      <c r="L106" s="43"/>
      <c r="M106" s="43"/>
      <c r="N106" s="43"/>
    </row>
    <row r="107" spans="1:14">
      <c r="A107" s="43"/>
      <c r="B107" s="43"/>
      <c r="C107" s="43"/>
      <c r="D107" s="43"/>
      <c r="E107" s="43"/>
      <c r="F107" s="43"/>
      <c r="G107" s="43"/>
      <c r="H107" s="43"/>
      <c r="I107" s="43"/>
      <c r="J107" s="43"/>
      <c r="K107" s="43"/>
      <c r="L107" s="43"/>
      <c r="M107" s="43"/>
      <c r="N107" s="43"/>
    </row>
    <row r="108" spans="1:14">
      <c r="A108" s="43"/>
      <c r="B108" s="43"/>
      <c r="C108" s="43"/>
      <c r="D108" s="43"/>
      <c r="E108" s="43"/>
      <c r="F108" s="43"/>
      <c r="G108" s="43"/>
      <c r="H108" s="43"/>
      <c r="I108" s="43"/>
      <c r="J108" s="43"/>
      <c r="K108" s="43"/>
      <c r="L108" s="43"/>
      <c r="M108" s="43"/>
      <c r="N108" s="43"/>
    </row>
    <row r="109" spans="1:14">
      <c r="A109" s="43"/>
      <c r="B109" s="43"/>
      <c r="C109" s="43"/>
      <c r="D109" s="43"/>
      <c r="E109" s="43"/>
      <c r="F109" s="43"/>
      <c r="G109" s="43"/>
      <c r="H109" s="43"/>
      <c r="I109" s="43"/>
      <c r="J109" s="43"/>
      <c r="K109" s="43"/>
      <c r="L109" s="43"/>
      <c r="M109" s="43"/>
      <c r="N109" s="43"/>
    </row>
    <row r="110" spans="1:14">
      <c r="A110" s="43"/>
      <c r="B110" s="43"/>
      <c r="C110" s="43"/>
      <c r="D110" s="43"/>
      <c r="E110" s="43"/>
      <c r="F110" s="43"/>
      <c r="G110" s="43"/>
      <c r="H110" s="43"/>
      <c r="I110" s="43"/>
      <c r="J110" s="43"/>
      <c r="K110" s="43"/>
      <c r="L110" s="43"/>
      <c r="M110" s="43"/>
      <c r="N110" s="43"/>
    </row>
    <row r="111" spans="1:14">
      <c r="A111" s="43"/>
      <c r="B111" s="43"/>
      <c r="C111" s="43"/>
      <c r="D111" s="43"/>
      <c r="E111" s="43"/>
      <c r="F111" s="43"/>
      <c r="G111" s="43"/>
      <c r="H111" s="43"/>
      <c r="I111" s="43"/>
      <c r="J111" s="43"/>
      <c r="K111" s="43"/>
      <c r="L111" s="43"/>
      <c r="M111" s="43"/>
      <c r="N111" s="43"/>
    </row>
  </sheetData>
  <sheetProtection sheet="1" objects="1" scenarios="1"/>
  <pageMargins left="0.7" right="0.7" top="0.75" bottom="0.75" header="0.3" footer="0.3"/>
  <pageSetup paperSize="9" scale="62" fitToHeight="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ul7">
    <pageSetUpPr fitToPage="1"/>
  </sheetPr>
  <dimension ref="A1:Q63"/>
  <sheetViews>
    <sheetView workbookViewId="0">
      <selection activeCell="G8" sqref="G8"/>
    </sheetView>
  </sheetViews>
  <sheetFormatPr defaultColWidth="9" defaultRowHeight="15"/>
  <cols>
    <col min="1" max="1" width="37.42578125" customWidth="1"/>
    <col min="2" max="2" width="38.140625" customWidth="1"/>
    <col min="3" max="3" width="9.140625" customWidth="1"/>
    <col min="4" max="4" width="9.28515625" customWidth="1"/>
    <col min="5" max="5" width="6.5703125" customWidth="1"/>
    <col min="6" max="6" width="34.7109375" customWidth="1"/>
    <col min="7" max="7" width="30.140625" customWidth="1"/>
    <col min="8" max="8" width="45.28515625" customWidth="1"/>
    <col min="9" max="9" width="45.7109375" customWidth="1"/>
    <col min="10" max="10" width="44.7109375" customWidth="1"/>
    <col min="11" max="11" width="45.140625" customWidth="1"/>
    <col min="12" max="12" width="19.7109375" hidden="1" customWidth="1"/>
    <col min="13" max="13" width="19.85546875" style="35" hidden="1" customWidth="1"/>
    <col min="14" max="14" width="13.5703125" style="37" hidden="1" customWidth="1"/>
    <col min="15" max="15" width="12.140625" style="37" hidden="1" customWidth="1"/>
    <col min="16" max="16" width="15.140625" hidden="1" customWidth="1"/>
    <col min="17" max="17" width="14.85546875" style="37" hidden="1" customWidth="1"/>
    <col min="18" max="18" width="8.7109375" customWidth="1"/>
  </cols>
  <sheetData>
    <row r="1" spans="1:17" ht="78.75" customHeight="1"/>
    <row r="2" spans="1:17">
      <c r="A2" s="22" t="s">
        <v>93</v>
      </c>
      <c r="B2" s="23" t="str">
        <f>'2. Inputs and results'!B5</f>
        <v>Building</v>
      </c>
    </row>
    <row r="3" spans="1:17">
      <c r="A3" s="24"/>
      <c r="B3" s="25"/>
    </row>
    <row r="4" spans="1:17">
      <c r="A4" s="38" t="s">
        <v>95</v>
      </c>
      <c r="B4" s="39" t="str">
        <f>'2. Inputs and results'!B6</f>
        <v>Housing/ Residential building</v>
      </c>
    </row>
    <row r="5" spans="1:17">
      <c r="A5" s="24"/>
      <c r="B5" s="25"/>
    </row>
    <row r="6" spans="1:17">
      <c r="A6" s="24" t="s">
        <v>97</v>
      </c>
      <c r="B6" s="26" t="str">
        <f>'2. Inputs and results'!B8</f>
        <v>District heating</v>
      </c>
    </row>
    <row r="7" spans="1:17">
      <c r="A7" s="24" t="s">
        <v>99</v>
      </c>
      <c r="B7" s="26" t="str">
        <f>'2. Inputs and results'!B9</f>
        <v>Other</v>
      </c>
    </row>
    <row r="8" spans="1:17">
      <c r="A8" s="24" t="s">
        <v>101</v>
      </c>
      <c r="B8" s="26" t="str">
        <f>'2. Inputs and results'!B10</f>
        <v>None</v>
      </c>
    </row>
    <row r="9" spans="1:17" ht="41.25" customHeight="1">
      <c r="F9" s="29" t="s">
        <v>186</v>
      </c>
      <c r="G9" s="29" t="s">
        <v>187</v>
      </c>
      <c r="H9" s="29" t="s">
        <v>188</v>
      </c>
      <c r="I9" s="29" t="s">
        <v>189</v>
      </c>
      <c r="J9" s="29" t="s">
        <v>190</v>
      </c>
      <c r="K9" s="29" t="s">
        <v>191</v>
      </c>
    </row>
    <row r="10" spans="1:17">
      <c r="C10" s="29" t="s">
        <v>192</v>
      </c>
      <c r="D10" s="29" t="s">
        <v>193</v>
      </c>
      <c r="E10" s="29" t="str">
        <f>'7. Change of CO2 emissions'!E12</f>
        <v>Year</v>
      </c>
      <c r="F10" s="29" t="str">
        <f>'2. Inputs and results'!B19</f>
        <v>One measure</v>
      </c>
      <c r="G10" s="29" t="str">
        <f>'2. Inputs and results'!C19</f>
        <v>Group procurement of the measure</v>
      </c>
      <c r="H10" s="29" t="str">
        <f>'2. Inputs and results'!B19</f>
        <v>One measure</v>
      </c>
      <c r="I10" s="29" t="str">
        <f>'2. Inputs and results'!C19</f>
        <v>Group procurement of the measure</v>
      </c>
      <c r="J10" s="29" t="str">
        <f>'2. Inputs and results'!B19</f>
        <v>One measure</v>
      </c>
      <c r="K10" s="29" t="str">
        <f>'2. Inputs and results'!C19</f>
        <v>Group procurement of the measure</v>
      </c>
      <c r="L10" t="s">
        <v>194</v>
      </c>
      <c r="M10" s="35" t="s">
        <v>195</v>
      </c>
      <c r="N10" s="40" t="s">
        <v>196</v>
      </c>
      <c r="O10" s="37" t="s">
        <v>197</v>
      </c>
      <c r="P10" s="41" t="s">
        <v>196</v>
      </c>
      <c r="Q10" s="37" t="s">
        <v>197</v>
      </c>
    </row>
    <row r="11" spans="1:17">
      <c r="H11" s="29"/>
      <c r="I11" s="29"/>
      <c r="J11" s="29"/>
      <c r="K11" s="29"/>
      <c r="N11" s="37" t="s">
        <v>198</v>
      </c>
      <c r="O11" s="37" t="s">
        <v>199</v>
      </c>
      <c r="P11" s="30" t="s">
        <v>198</v>
      </c>
      <c r="Q11" s="37" t="s">
        <v>200</v>
      </c>
    </row>
    <row r="12" spans="1:17">
      <c r="C12">
        <f>'Solution 1, (hidden)'!B5</f>
        <v>0</v>
      </c>
      <c r="D12">
        <f>'Solution  2, (hidden)'!B5</f>
        <v>0</v>
      </c>
      <c r="E12">
        <f>IF('2. Inputs and results'!$C$23&gt;='2. Inputs and results'!$B$23,'Solution  2, (hidden)'!B5,'Solution 1, (hidden)'!B5)</f>
        <v>0</v>
      </c>
      <c r="F12" s="31">
        <f>'Solution 1, (hidden)'!W5</f>
        <v>-156400</v>
      </c>
      <c r="G12" s="31">
        <f>'Solution  2, (hidden)'!W5</f>
        <v>-595000</v>
      </c>
      <c r="H12" s="31">
        <f>'Solution 1, (hidden)'!R5</f>
        <v>-156400</v>
      </c>
      <c r="I12" s="31">
        <f>'Solution  2, (hidden)'!R5</f>
        <v>-595000</v>
      </c>
      <c r="J12" s="31">
        <f>'Solution 1, (hidden) (2)'!R5</f>
        <v>-156400</v>
      </c>
      <c r="K12" s="31">
        <f>'Solution  2, (hidden) (2)'!R5</f>
        <v>-595000</v>
      </c>
      <c r="L12" s="35">
        <f>'Solution 1, (hidden)'!Z5</f>
        <v>-156400</v>
      </c>
      <c r="M12" s="35">
        <f>'Solution  2, (hidden)'!U5</f>
        <v>-595000</v>
      </c>
      <c r="N12" s="37">
        <f>'Solution 1, (hidden)'!U5</f>
        <v>-156400</v>
      </c>
      <c r="O12" s="37">
        <f>'Solution  2, (hidden)'!U5</f>
        <v>-595000</v>
      </c>
      <c r="P12" s="6">
        <f>'Solution 1, (hidden) (2)'!U5</f>
        <v>-156400</v>
      </c>
      <c r="Q12" s="37">
        <f>'Solution  2, (hidden) (2)'!U5</f>
        <v>-595000</v>
      </c>
    </row>
    <row r="13" spans="1:17">
      <c r="C13">
        <f>'Solution 1, (hidden)'!B6</f>
        <v>1</v>
      </c>
      <c r="D13">
        <f>'Solution  2, (hidden)'!B6</f>
        <v>1</v>
      </c>
      <c r="E13">
        <f>IF('2. Inputs and results'!$C$23&gt;='2. Inputs and results'!$B$23,'Solution  2, (hidden)'!B6,'Solution 1, (hidden)'!B6)</f>
        <v>1</v>
      </c>
      <c r="F13" s="31">
        <f>'Solution 1, (hidden)'!W6</f>
        <v>-149908</v>
      </c>
      <c r="G13" s="31">
        <f>'Solution  2, (hidden)'!W6</f>
        <v>-556600</v>
      </c>
      <c r="H13" s="31">
        <f>'Solution 1, (hidden)'!R6</f>
        <v>-149908</v>
      </c>
      <c r="I13" s="31">
        <f>'Solution  2, (hidden)'!R6</f>
        <v>-556600</v>
      </c>
      <c r="J13" s="31">
        <f>'Solution 1, (hidden) (2)'!R6</f>
        <v>-149908</v>
      </c>
      <c r="K13" s="31">
        <f>'Solution  2, (hidden) (2)'!R6</f>
        <v>-556600</v>
      </c>
      <c r="L13" s="35">
        <f>IF('4. Cash flow '!E13&lt;('2. Inputs and results'!$B$23+1),'Solution 1, (hidden)'!C6-'Solution 1, (hidden)'!M6," ")</f>
        <v>9620</v>
      </c>
      <c r="M13" s="35">
        <f>IF(E13&lt;('2. Inputs and results'!$C$23+1),'Solution  2, (hidden)'!C6-'Solution  2, (hidden)'!M6," ")</f>
        <v>50300</v>
      </c>
      <c r="N13" s="37">
        <f>IF('4. Cash flow '!E13&lt;('2. Inputs and results'!$B$23+1),'Solution 1, (hidden)'!G6+'Solution 1, (hidden)'!I6+'Solution 1, (hidden)'!H6+'Solution 1, (hidden)'!J6-'Solution 1, (hidden)'!M6," ")</f>
        <v>9620</v>
      </c>
      <c r="O13" s="37">
        <f>IF(E13&lt;('2. Inputs and results'!$C$23+1),'Solution  2, (hidden)'!G6+'Solution  2, (hidden)'!I6+'Solution  2, (hidden)'!H6+'Solution  2, (hidden)'!J6-'Solution  2, (hidden)'!M6," ")</f>
        <v>50300</v>
      </c>
      <c r="P13" s="37">
        <f>IF('4. Cash flow '!E13&lt;('2. Inputs and results'!$B$23+1),'Solution 1, (hidden) (2)'!G6+'Solution 1, (hidden) (2)'!I6+'Solution 1, (hidden) (2)'!H6+'Solution 1, (hidden) (2)'!J6-'Solution 1, (hidden) (2)'!M6," ")</f>
        <v>9620</v>
      </c>
      <c r="Q13" s="37">
        <f>IF(E13&lt;('2. Inputs and results'!$C$23+1),'Solution  2, (hidden) (2)'!G6+'Solution  2, (hidden) (2)'!I6+'Solution  2, (hidden) (2)'!H6+'Solution  2, (hidden) (2)'!J6-'Solution  2, (hidden) (2)'!M6," ")</f>
        <v>50300</v>
      </c>
    </row>
    <row r="14" spans="1:17">
      <c r="C14">
        <f>'Solution 1, (hidden)'!B7</f>
        <v>2</v>
      </c>
      <c r="D14">
        <f>'Solution  2, (hidden)'!B7</f>
        <v>2</v>
      </c>
      <c r="E14">
        <f>IF('2. Inputs and results'!$C$23&gt;='2. Inputs and results'!$B$23,'Solution  2, (hidden)'!B7,'Solution 1, (hidden)'!B7)</f>
        <v>2</v>
      </c>
      <c r="F14" s="31">
        <f>'Solution 1, (hidden)'!W7</f>
        <v>-143286.16</v>
      </c>
      <c r="G14" s="31">
        <f>'Solution  2, (hidden)'!W7</f>
        <v>-517432</v>
      </c>
      <c r="H14" s="31">
        <f>'Solution 1, (hidden)'!R7</f>
        <v>-142942.36000000002</v>
      </c>
      <c r="I14" s="31">
        <f>'Solution  2, (hidden)'!R7</f>
        <v>-515713</v>
      </c>
      <c r="J14" s="31">
        <f>'Solution 1, (hidden) (2)'!R7</f>
        <v>-142598.56</v>
      </c>
      <c r="K14" s="31">
        <f>'Solution  2, (hidden) (2)'!R7</f>
        <v>-513994</v>
      </c>
      <c r="L14" s="35">
        <f>IF('4. Cash flow '!E14&lt;('2. Inputs and results'!$B$23+1),'Solution 1, (hidden)'!C7-'Solution 1, (hidden)'!M7," ")</f>
        <v>9620</v>
      </c>
      <c r="M14" s="35">
        <f>IF(E14&lt;('2. Inputs and results'!$C$23+1),'Solution  2, (hidden)'!C7-'Solution  2, (hidden)'!M7," ")</f>
        <v>50300</v>
      </c>
      <c r="N14" s="37">
        <f>IF('4. Cash flow '!E14&lt;('2. Inputs and results'!$B$23+1),'Solution 1, (hidden)'!G7+'Solution 1, (hidden)'!I7+'Solution 1, (hidden)'!H7+'Solution 1, (hidden)'!J7-'Solution 1, (hidden)'!M7," ")</f>
        <v>9963.7999999999993</v>
      </c>
      <c r="O14" s="37">
        <f>IF(E14&lt;('2. Inputs and results'!$C$23+1),'Solution  2, (hidden)'!G7+'Solution  2, (hidden)'!I7+'Solution  2, (hidden)'!H7+'Solution  2, (hidden)'!J7-'Solution  2, (hidden)'!M7," ")</f>
        <v>52019</v>
      </c>
      <c r="P14" s="37">
        <f>IF('4. Cash flow '!E14&lt;('2. Inputs and results'!$B$23+1),'Solution 1, (hidden) (2)'!G7+'Solution 1, (hidden) (2)'!I7+'Solution 1, (hidden) (2)'!H7+'Solution 1, (hidden) (2)'!J7-'Solution 1, (hidden) (2)'!M7," ")</f>
        <v>10307.6</v>
      </c>
      <c r="Q14" s="37">
        <f>IF(E14&lt;('2. Inputs and results'!$C$23+1),'Solution  2, (hidden) (2)'!G7+'Solution  2, (hidden) (2)'!I7+'Solution  2, (hidden) (2)'!H7+'Solution  2, (hidden) (2)'!J7-'Solution  2, (hidden) (2)'!M7," ")</f>
        <v>53738</v>
      </c>
    </row>
    <row r="15" spans="1:17">
      <c r="C15">
        <f>'Solution 1, (hidden)'!B8</f>
        <v>3</v>
      </c>
      <c r="D15">
        <f>'Solution  2, (hidden)'!B8</f>
        <v>3</v>
      </c>
      <c r="E15">
        <f>IF('2. Inputs and results'!$C$23&gt;='2. Inputs and results'!$B$23,'Solution  2, (hidden)'!B8,'Solution 1, (hidden)'!B8)</f>
        <v>3</v>
      </c>
      <c r="F15" s="31">
        <f>'Solution 1, (hidden)'!W8</f>
        <v>-136531.88320000001</v>
      </c>
      <c r="G15" s="31">
        <f>'Solution  2, (hidden)'!W8</f>
        <v>-477480.64</v>
      </c>
      <c r="H15" s="31">
        <f>'Solution 1, (hidden)'!R8</f>
        <v>-135483.29320000001</v>
      </c>
      <c r="I15" s="31">
        <f>'Solution  2, (hidden)'!R8</f>
        <v>-472237.69</v>
      </c>
      <c r="J15" s="31">
        <f>'Solution 1, (hidden) (2)'!R8</f>
        <v>-134414.07520000002</v>
      </c>
      <c r="K15" s="31">
        <f>'Solution  2, (hidden) (2)'!R8</f>
        <v>-466891.60000000003</v>
      </c>
      <c r="L15" s="35">
        <f>IF('4. Cash flow '!E15&lt;('2. Inputs and results'!$B$23+1),'Solution 1, (hidden)'!C8-'Solution 1, (hidden)'!M8," ")</f>
        <v>9620</v>
      </c>
      <c r="M15" s="35">
        <f>IF(E15&lt;('2. Inputs and results'!$C$23+1),'Solution  2, (hidden)'!C8-'Solution  2, (hidden)'!M8," ")</f>
        <v>50300</v>
      </c>
      <c r="N15" s="37">
        <f>IF('4. Cash flow '!E15&lt;('2. Inputs and results'!$B$23+1),'Solution 1, (hidden)'!G8+'Solution 1, (hidden)'!I8+'Solution 1, (hidden)'!H8+'Solution 1, (hidden)'!J8-'Solution 1, (hidden)'!M8," ")</f>
        <v>10317.914000000001</v>
      </c>
      <c r="O15" s="37">
        <f>IF(E15&lt;('2. Inputs and results'!$C$23+1),'Solution  2, (hidden)'!G8+'Solution  2, (hidden)'!I8+'Solution  2, (hidden)'!H8+'Solution  2, (hidden)'!J8-'Solution  2, (hidden)'!M8," ")</f>
        <v>53789.57</v>
      </c>
      <c r="P15" s="37">
        <f>IF('4. Cash flow '!E15&lt;('2. Inputs and results'!$B$23+1),'Solution 1, (hidden) (2)'!G8+'Solution 1, (hidden) (2)'!I8+'Solution 1, (hidden) (2)'!H8+'Solution 1, (hidden) (2)'!J8-'Solution 1, (hidden) (2)'!M8," ")</f>
        <v>11036.456</v>
      </c>
      <c r="Q15" s="37">
        <f>IF(E15&lt;('2. Inputs and results'!$C$23+1),'Solution  2, (hidden) (2)'!G8+'Solution  2, (hidden) (2)'!I8+'Solution  2, (hidden) (2)'!H8+'Solution  2, (hidden) (2)'!J8-'Solution  2, (hidden) (2)'!M8," ")</f>
        <v>57382.280000000006</v>
      </c>
    </row>
    <row r="16" spans="1:17">
      <c r="C16">
        <f>'Solution 1, (hidden)'!B9</f>
        <v>4</v>
      </c>
      <c r="D16">
        <f>'Solution  2, (hidden)'!B9</f>
        <v>4</v>
      </c>
      <c r="E16">
        <f>IF('2. Inputs and results'!$C$23&gt;='2. Inputs and results'!$B$23,'Solution  2, (hidden)'!B9,'Solution 1, (hidden)'!B9)</f>
        <v>4</v>
      </c>
      <c r="F16" s="31">
        <f>'Solution 1, (hidden)'!W9</f>
        <v>-129642.52086400001</v>
      </c>
      <c r="G16" s="31">
        <f>'Solution  2, (hidden)'!W9</f>
        <v>-436730.25280000002</v>
      </c>
      <c r="H16" s="31">
        <f>'Solution 1, (hidden)'!R9</f>
        <v>-127510.30764400001</v>
      </c>
      <c r="I16" s="31">
        <f>'Solution  2, (hidden)'!R9</f>
        <v>-426069.18670000002</v>
      </c>
      <c r="J16" s="31">
        <f>'Solution 1, (hidden) (2)'!R9</f>
        <v>-125293.31334400002</v>
      </c>
      <c r="K16" s="31">
        <f>'Solution  2, (hidden) (2)'!R9</f>
        <v>-414984.21519999998</v>
      </c>
      <c r="L16" s="35">
        <f>IF('4. Cash flow '!E16&lt;('2. Inputs and results'!$B$23+1),'Solution 1, (hidden)'!C9-'Solution 1, (hidden)'!M9," ")</f>
        <v>9620</v>
      </c>
      <c r="M16" s="35">
        <f>IF(E16&lt;('2. Inputs and results'!$C$23+1),'Solution  2, (hidden)'!C9-'Solution  2, (hidden)'!M9," ")</f>
        <v>50300</v>
      </c>
      <c r="N16" s="37">
        <f>IF('4. Cash flow '!E16&lt;('2. Inputs and results'!$B$23+1),'Solution 1, (hidden)'!G9+'Solution 1, (hidden)'!I9+'Solution 1, (hidden)'!H9+'Solution 1, (hidden)'!J9-'Solution 1, (hidden)'!M9," ")</f>
        <v>10682.651420000002</v>
      </c>
      <c r="O16" s="37">
        <f>IF(E16&lt;('2. Inputs and results'!$C$23+1),'Solution  2, (hidden)'!G9+'Solution  2, (hidden)'!I9+'Solution  2, (hidden)'!H9+'Solution  2, (hidden)'!J9-'Solution  2, (hidden)'!M9," ")</f>
        <v>55613.257100000003</v>
      </c>
      <c r="P16" s="37">
        <f>IF('4. Cash flow '!E16&lt;('2. Inputs and results'!$B$23+1),'Solution 1, (hidden) (2)'!G9+'Solution 1, (hidden) (2)'!I9+'Solution 1, (hidden) (2)'!H9+'Solution 1, (hidden) (2)'!J9-'Solution 1, (hidden) (2)'!M9," ")</f>
        <v>11809.043360000001</v>
      </c>
      <c r="Q16" s="37">
        <f>IF(E16&lt;('2. Inputs and results'!$C$23+1),'Solution  2, (hidden) (2)'!G9+'Solution  2, (hidden) (2)'!I9+'Solution  2, (hidden) (2)'!H9+'Solution  2, (hidden) (2)'!J9-'Solution  2, (hidden) (2)'!M9," ")</f>
        <v>61245.216800000009</v>
      </c>
    </row>
    <row r="17" spans="3:17">
      <c r="C17">
        <f>'Solution 1, (hidden)'!B10</f>
        <v>5</v>
      </c>
      <c r="D17">
        <f>'Solution  2, (hidden)'!B10</f>
        <v>5</v>
      </c>
      <c r="E17">
        <f>IF('2. Inputs and results'!$C$23&gt;='2. Inputs and results'!$B$23,'Solution  2, (hidden)'!B10,'Solution 1, (hidden)'!B10)</f>
        <v>5</v>
      </c>
      <c r="F17" s="31">
        <f>'Solution 1, (hidden)'!W10</f>
        <v>-122615.37128128001</v>
      </c>
      <c r="G17" s="31">
        <f>'Solution  2, (hidden)'!W10</f>
        <v>-395164.85785600002</v>
      </c>
      <c r="H17" s="31">
        <f>'Solution 1, (hidden)'!R10</f>
        <v>-119002.18283428001</v>
      </c>
      <c r="I17" s="31">
        <f>'Solution  2, (hidden)'!R10</f>
        <v>-377098.91562099999</v>
      </c>
      <c r="J17" s="31">
        <f>'Solution 1, (hidden) (2)'!R10</f>
        <v>-115171.19364928002</v>
      </c>
      <c r="K17" s="31">
        <f>'Solution  2, (hidden) (2)'!R10</f>
        <v>-357943.96969599993</v>
      </c>
      <c r="L17" s="35">
        <f>IF('4. Cash flow '!E17&lt;('2. Inputs and results'!$B$23+1),'Solution 1, (hidden)'!C10-'Solution 1, (hidden)'!M10," ")</f>
        <v>9620</v>
      </c>
      <c r="M17" s="35">
        <f>IF(E17&lt;('2. Inputs and results'!$C$23+1),'Solution  2, (hidden)'!C10-'Solution  2, (hidden)'!M10," ")</f>
        <v>50300</v>
      </c>
      <c r="N17" s="37">
        <f>IF('4. Cash flow '!E17&lt;('2. Inputs and results'!$B$23+1),'Solution 1, (hidden)'!G10+'Solution 1, (hidden)'!I10+'Solution 1, (hidden)'!H10+'Solution 1, (hidden)'!J10-'Solution 1, (hidden)'!M10," ")</f>
        <v>11058.330962600003</v>
      </c>
      <c r="O17" s="37">
        <f>IF(E17&lt;('2. Inputs and results'!$C$23+1),'Solution  2, (hidden)'!G10+'Solution  2, (hidden)'!I10+'Solution  2, (hidden)'!H10+'Solution  2, (hidden)'!J10-'Solution  2, (hidden)'!M10," ")</f>
        <v>57491.654813000008</v>
      </c>
      <c r="P17" s="37">
        <f>IF('4. Cash flow '!E17&lt;('2. Inputs and results'!$B$23+1),'Solution 1, (hidden) (2)'!G10+'Solution 1, (hidden) (2)'!I10+'Solution 1, (hidden) (2)'!H10+'Solution 1, (hidden) (2)'!J10-'Solution 1, (hidden) (2)'!M10," ")</f>
        <v>12627.985961600001</v>
      </c>
      <c r="Q17" s="37">
        <f>IF(E17&lt;('2. Inputs and results'!$C$23+1),'Solution  2, (hidden) (2)'!G10+'Solution  2, (hidden) (2)'!I10+'Solution  2, (hidden) (2)'!H10+'Solution  2, (hidden) (2)'!J10-'Solution  2, (hidden) (2)'!M10," ")</f>
        <v>65339.92980800003</v>
      </c>
    </row>
    <row r="18" spans="3:17">
      <c r="C18">
        <f>'Solution 1, (hidden)'!B11</f>
        <v>6</v>
      </c>
      <c r="D18">
        <f>'Solution  2, (hidden)'!B11</f>
        <v>6</v>
      </c>
      <c r="E18">
        <f>IF('2. Inputs and results'!$C$23&gt;='2. Inputs and results'!$B$23,'Solution  2, (hidden)'!B11,'Solution 1, (hidden)'!B11)</f>
        <v>6</v>
      </c>
      <c r="F18" s="31">
        <f>'Solution 1, (hidden)'!W11</f>
        <v>-115447.6787069056</v>
      </c>
      <c r="G18" s="31">
        <f>'Solution  2, (hidden)'!W11</f>
        <v>-352768.15501312003</v>
      </c>
      <c r="H18" s="31">
        <f>'Solution 1, (hidden)'!R11</f>
        <v>-109936.9455994876</v>
      </c>
      <c r="I18" s="31">
        <f>'Solution  2, (hidden)'!R11</f>
        <v>-325214.48947602999</v>
      </c>
      <c r="J18" s="31">
        <f>'Solution 1, (hidden) (2)'!R11</f>
        <v>-103978.55240296962</v>
      </c>
      <c r="K18" s="31">
        <f>'Solution  2, (hidden) (2)'!R11</f>
        <v>-295422.52349343989</v>
      </c>
      <c r="L18" s="35">
        <f>IF('4. Cash flow '!E18&lt;('2. Inputs and results'!$B$23+1),'Solution 1, (hidden)'!C11-'Solution 1, (hidden)'!M11," ")</f>
        <v>9620</v>
      </c>
      <c r="M18" s="35">
        <f>IF(E18&lt;('2. Inputs and results'!$C$23+1),'Solution  2, (hidden)'!C11-'Solution  2, (hidden)'!M11," ")</f>
        <v>50300</v>
      </c>
      <c r="N18" s="37">
        <f>IF('4. Cash flow '!E18&lt;('2. Inputs and results'!$B$23+1),'Solution 1, (hidden)'!G11+'Solution 1, (hidden)'!I11+'Solution 1, (hidden)'!H11+'Solution 1, (hidden)'!J11-'Solution 1, (hidden)'!M11," ")</f>
        <v>11445.280891478002</v>
      </c>
      <c r="O18" s="37">
        <f>IF(E18&lt;('2. Inputs and results'!$C$23+1),'Solution  2, (hidden)'!G11+'Solution  2, (hidden)'!I11+'Solution  2, (hidden)'!H11+'Solution  2, (hidden)'!J11-'Solution  2, (hidden)'!M11," ")</f>
        <v>59426.404457390017</v>
      </c>
      <c r="P18" s="37">
        <f>IF('4. Cash flow '!E18&lt;('2. Inputs and results'!$B$23+1),'Solution 1, (hidden) (2)'!G11+'Solution 1, (hidden) (2)'!I11+'Solution 1, (hidden) (2)'!H11+'Solution 1, (hidden) (2)'!J11-'Solution 1, (hidden) (2)'!M11," ")</f>
        <v>13496.065119296003</v>
      </c>
      <c r="Q18" s="37">
        <f>IF(E18&lt;('2. Inputs and results'!$C$23+1),'Solution  2, (hidden) (2)'!G11+'Solution  2, (hidden) (2)'!I11+'Solution  2, (hidden) (2)'!H11+'Solution  2, (hidden) (2)'!J11-'Solution  2, (hidden) (2)'!M11," ")</f>
        <v>69680.325596480034</v>
      </c>
    </row>
    <row r="19" spans="3:17">
      <c r="C19">
        <f>'Solution 1, (hidden)'!B12</f>
        <v>7</v>
      </c>
      <c r="D19">
        <f>'Solution  2, (hidden)'!B12</f>
        <v>7</v>
      </c>
      <c r="E19">
        <f>IF('2. Inputs and results'!$C$23&gt;='2. Inputs and results'!$B$23,'Solution  2, (hidden)'!B12,'Solution 1, (hidden)'!B12)</f>
        <v>7</v>
      </c>
      <c r="F19" s="31">
        <f>'Solution 1, (hidden)'!W12</f>
        <v>-108136.63228104371</v>
      </c>
      <c r="G19" s="31">
        <f>'Solution  2, (hidden)'!W12</f>
        <v>-309523.51811338245</v>
      </c>
      <c r="H19" s="31">
        <f>'Solution 1, (hidden)'!R12</f>
        <v>-100291.84519325502</v>
      </c>
      <c r="I19" s="31">
        <f>'Solution  2, (hidden)'!R12</f>
        <v>-270299.58267443883</v>
      </c>
      <c r="J19" s="31">
        <f>'Solution 1, (hidden) (2)'!R12</f>
        <v>-91641.89442457525</v>
      </c>
      <c r="K19" s="31">
        <f>'Solution  2, (hidden) (2)'!R12</f>
        <v>-227049.82883103989</v>
      </c>
      <c r="L19" s="35">
        <f>IF('4. Cash flow '!E19&lt;('2. Inputs and results'!$B$23+1),'Solution 1, (hidden)'!C12-'Solution 1, (hidden)'!M12," ")</f>
        <v>9620</v>
      </c>
      <c r="M19" s="35">
        <f>IF(E19&lt;('2. Inputs and results'!$C$23+1),'Solution  2, (hidden)'!C12-'Solution  2, (hidden)'!M12," ")</f>
        <v>50300</v>
      </c>
      <c r="N19" s="37">
        <f>IF('4. Cash flow '!E19&lt;('2. Inputs and results'!$B$23+1),'Solution 1, (hidden)'!G12+'Solution 1, (hidden)'!I12+'Solution 1, (hidden)'!H12+'Solution 1, (hidden)'!J12-'Solution 1, (hidden)'!M12," ")</f>
        <v>11843.839318222341</v>
      </c>
      <c r="O19" s="37">
        <f>IF(E19&lt;('2. Inputs and results'!$C$23+1),'Solution  2, (hidden)'!G12+'Solution  2, (hidden)'!I12+'Solution  2, (hidden)'!H12+'Solution  2, (hidden)'!J12-'Solution  2, (hidden)'!M12," ")</f>
        <v>61419.19659111173</v>
      </c>
      <c r="P19" s="37">
        <f>IF('4. Cash flow '!E19&lt;('2. Inputs and results'!$B$23+1),'Solution 1, (hidden) (2)'!G12+'Solution 1, (hidden) (2)'!I12+'Solution 1, (hidden) (2)'!H12+'Solution 1, (hidden) (2)'!J12-'Solution 1, (hidden) (2)'!M12," ")</f>
        <v>14416.229026453764</v>
      </c>
      <c r="Q19" s="37">
        <f>IF(E19&lt;('2. Inputs and results'!$C$23+1),'Solution  2, (hidden) (2)'!G12+'Solution  2, (hidden) (2)'!I12+'Solution  2, (hidden) (2)'!H12+'Solution  2, (hidden) (2)'!J12-'Solution  2, (hidden) (2)'!M12," ")</f>
        <v>74281.145132268837</v>
      </c>
    </row>
    <row r="20" spans="3:17">
      <c r="C20">
        <f>'Solution 1, (hidden)'!B13</f>
        <v>8</v>
      </c>
      <c r="D20">
        <f>'Solution  2, (hidden)'!B13</f>
        <v>8</v>
      </c>
      <c r="E20">
        <f>IF('2. Inputs and results'!$C$23&gt;='2. Inputs and results'!$B$23,'Solution  2, (hidden)'!B13,'Solution 1, (hidden)'!B13)</f>
        <v>8</v>
      </c>
      <c r="F20" s="31">
        <f>'Solution 1, (hidden)'!W13</f>
        <v>-100679.36492666458</v>
      </c>
      <c r="G20" s="31">
        <f>'Solution  2, (hidden)'!W13</f>
        <v>-265413.98847565008</v>
      </c>
      <c r="H20" s="31">
        <f>'Solution 1, (hidden)'!R13</f>
        <v>-90043.327599351105</v>
      </c>
      <c r="I20" s="31">
        <f>'Solution  2, (hidden)'!R13</f>
        <v>-212233.80183908253</v>
      </c>
      <c r="J20" s="31">
        <f>'Solution 1, (hidden) (2)'!R13</f>
        <v>-78083.12954502576</v>
      </c>
      <c r="K20" s="31">
        <f>'Solution  2, (hidden) (2)'!R13</f>
        <v>-152432.8115674557</v>
      </c>
      <c r="L20" s="35">
        <f>IF('4. Cash flow '!E20&lt;('2. Inputs and results'!$B$23+1),'Solution 1, (hidden)'!C13-'Solution 1, (hidden)'!M13," ")</f>
        <v>9620</v>
      </c>
      <c r="M20" s="35">
        <f>IF(E20&lt;('2. Inputs and results'!$C$23+1),'Solution  2, (hidden)'!C13-'Solution  2, (hidden)'!M13," ")</f>
        <v>50300</v>
      </c>
      <c r="N20" s="37">
        <f>IF('4. Cash flow '!E20&lt;('2. Inputs and results'!$B$23+1),'Solution 1, (hidden)'!G13+'Solution 1, (hidden)'!I13+'Solution 1, (hidden)'!H13+'Solution 1, (hidden)'!J13-'Solution 1, (hidden)'!M13," ")</f>
        <v>12254.354497769013</v>
      </c>
      <c r="O20" s="37">
        <f>IF(E20&lt;('2. Inputs and results'!$C$23+1),'Solution  2, (hidden)'!G13+'Solution  2, (hidden)'!I13+'Solution  2, (hidden)'!H13+'Solution  2, (hidden)'!J13-'Solution  2, (hidden)'!M13," ")</f>
        <v>63471.772488845076</v>
      </c>
      <c r="P20" s="37">
        <f>IF('4. Cash flow '!E20&lt;('2. Inputs and results'!$B$23+1),'Solution 1, (hidden) (2)'!G13+'Solution 1, (hidden) (2)'!I13+'Solution 1, (hidden) (2)'!H13+'Solution 1, (hidden) (2)'!J13-'Solution 1, (hidden) (2)'!M13," ")</f>
        <v>15391.60276804099</v>
      </c>
      <c r="Q20" s="37">
        <f>IF(E20&lt;('2. Inputs and results'!$C$23+1),'Solution  2, (hidden) (2)'!G13+'Solution  2, (hidden) (2)'!I13+'Solution  2, (hidden) (2)'!H13+'Solution  2, (hidden) (2)'!J13-'Solution  2, (hidden) (2)'!M13," ")</f>
        <v>79158.013840204963</v>
      </c>
    </row>
    <row r="21" spans="3:17">
      <c r="C21">
        <f>'Solution 1, (hidden)'!B14</f>
        <v>9</v>
      </c>
      <c r="D21">
        <f>'Solution  2, (hidden)'!B14</f>
        <v>9</v>
      </c>
      <c r="E21">
        <f>IF('2. Inputs and results'!$C$23&gt;='2. Inputs and results'!$B$23,'Solution  2, (hidden)'!B14,'Solution 1, (hidden)'!B14)</f>
        <v>9</v>
      </c>
      <c r="F21" s="31">
        <f>'Solution 1, (hidden)'!W14</f>
        <v>-93072.952225197878</v>
      </c>
      <c r="G21" s="31">
        <f>'Solution  2, (hidden)'!W14</f>
        <v>-220422.26824516308</v>
      </c>
      <c r="H21" s="31">
        <f>'Solution 1, (hidden)'!R14</f>
        <v>-79167.009018636061</v>
      </c>
      <c r="I21" s="31">
        <f>'Solution  2, (hidden)'!R14</f>
        <v>-150892.55221235377</v>
      </c>
      <c r="J21" s="31">
        <f>'Solution 1, (hidden) (2)'!R14</f>
        <v>-63219.293201802822</v>
      </c>
      <c r="K21" s="31">
        <f>'Solution  2, (hidden) (2)'!R14</f>
        <v>-71153.973128187557</v>
      </c>
      <c r="L21" s="35">
        <f>IF('4. Cash flow '!E21&lt;('2. Inputs and results'!$B$23+1),'Solution 1, (hidden)'!C14-'Solution 1, (hidden)'!M14," ")</f>
        <v>9620</v>
      </c>
      <c r="M21" s="35">
        <f>IF(E21&lt;('2. Inputs and results'!$C$23+1),'Solution  2, (hidden)'!C14-'Solution  2, (hidden)'!M14," ")</f>
        <v>50300</v>
      </c>
      <c r="N21" s="37">
        <f>IF('4. Cash flow '!E21&lt;('2. Inputs and results'!$B$23+1),'Solution 1, (hidden)'!G14+'Solution 1, (hidden)'!I14+'Solution 1, (hidden)'!H14+'Solution 1, (hidden)'!J14-'Solution 1, (hidden)'!M14," ")</f>
        <v>12677.185132702083</v>
      </c>
      <c r="O21" s="37">
        <f>IF(E21&lt;('2. Inputs and results'!$C$23+1),'Solution  2, (hidden)'!G14+'Solution  2, (hidden)'!I14+'Solution  2, (hidden)'!H14+'Solution  2, (hidden)'!J14-'Solution  2, (hidden)'!M14," ")</f>
        <v>65585.925663510425</v>
      </c>
      <c r="P21" s="37">
        <f>IF('4. Cash flow '!E21&lt;('2. Inputs and results'!$B$23+1),'Solution 1, (hidden) (2)'!G14+'Solution 1, (hidden) (2)'!I14+'Solution 1, (hidden) (2)'!H14+'Solution 1, (hidden) (2)'!J14-'Solution 1, (hidden) (2)'!M14," ")</f>
        <v>16425.498934123447</v>
      </c>
      <c r="Q21" s="37">
        <f>IF(E21&lt;('2. Inputs and results'!$C$23+1),'Solution  2, (hidden) (2)'!G14+'Solution  2, (hidden) (2)'!I14+'Solution  2, (hidden) (2)'!H14+'Solution  2, (hidden) (2)'!J14-'Solution  2, (hidden) (2)'!M14," ")</f>
        <v>84327.494670617263</v>
      </c>
    </row>
    <row r="22" spans="3:17">
      <c r="C22">
        <f>'Solution 1, (hidden)'!B15</f>
        <v>10</v>
      </c>
      <c r="D22">
        <f>'Solution  2, (hidden)'!B15</f>
        <v>10</v>
      </c>
      <c r="E22">
        <f>IF('2. Inputs and results'!$C$23&gt;='2. Inputs and results'!$B$23,'Solution  2, (hidden)'!B15,'Solution 1, (hidden)'!B15)</f>
        <v>10</v>
      </c>
      <c r="F22" s="31">
        <f>'Solution 1, (hidden)'!W15</f>
        <v>-85314.411269701843</v>
      </c>
      <c r="G22" s="31">
        <f>'Solution  2, (hidden)'!W15</f>
        <v>-174530.71361006633</v>
      </c>
      <c r="H22" s="31">
        <f>'Solution 1, (hidden)'!R15</f>
        <v>-67637.648512325643</v>
      </c>
      <c r="I22" s="31">
        <f>'Solution  2, (hidden)'!R15</f>
        <v>-86146.8998231851</v>
      </c>
      <c r="J22" s="31">
        <f>'Solution 1, (hidden) (2)'!R15</f>
        <v>-46962.250195668028</v>
      </c>
      <c r="K22" s="31">
        <f>'Solution  2, (hidden) (2)'!R15</f>
        <v>17230.091760103001</v>
      </c>
      <c r="L22" s="35">
        <f>IF('4. Cash flow '!E22&lt;('2. Inputs and results'!$B$23+1),'Solution 1, (hidden)'!C15-'Solution 1, (hidden)'!M15," ")</f>
        <v>9620</v>
      </c>
      <c r="M22" s="35">
        <f>IF(E22&lt;('2. Inputs and results'!$C$23+1),'Solution  2, (hidden)'!C15-'Solution  2, (hidden)'!M15," ")</f>
        <v>50300</v>
      </c>
      <c r="N22" s="37">
        <f>IF('4. Cash flow '!E22&lt;('2. Inputs and results'!$B$23+1),'Solution 1, (hidden)'!G15+'Solution 1, (hidden)'!I15+'Solution 1, (hidden)'!H15+'Solution 1, (hidden)'!J15-'Solution 1, (hidden)'!M15," ")</f>
        <v>13112.700686683145</v>
      </c>
      <c r="O22" s="37">
        <f>IF(E22&lt;('2. Inputs and results'!$C$23+1),'Solution  2, (hidden)'!G15+'Solution  2, (hidden)'!I15+'Solution  2, (hidden)'!H15+'Solution  2, (hidden)'!J15-'Solution  2, (hidden)'!M15," ")</f>
        <v>67763.503433415739</v>
      </c>
      <c r="P22" s="37">
        <f>IF('4. Cash flow '!E22&lt;('2. Inputs and results'!$B$23+1),'Solution 1, (hidden) (2)'!G15+'Solution 1, (hidden) (2)'!I15+'Solution 1, (hidden) (2)'!H15+'Solution 1, (hidden) (2)'!J15-'Solution 1, (hidden) (2)'!M15," ")</f>
        <v>17521.428870170854</v>
      </c>
      <c r="Q22" s="37">
        <f>IF(E22&lt;('2. Inputs and results'!$C$23+1),'Solution  2, (hidden) (2)'!G15+'Solution  2, (hidden) (2)'!I15+'Solution  2, (hidden) (2)'!H15+'Solution  2, (hidden) (2)'!J15-'Solution  2, (hidden) (2)'!M15," ")</f>
        <v>89807.144350854316</v>
      </c>
    </row>
    <row r="23" spans="3:17">
      <c r="C23">
        <f>'Solution 1, (hidden)'!B16</f>
        <v>11</v>
      </c>
      <c r="D23">
        <f>'Solution  2, (hidden)'!B16</f>
        <v>11</v>
      </c>
      <c r="E23">
        <f>IF('2. Inputs and results'!$C$23&gt;='2. Inputs and results'!$B$23,'Solution  2, (hidden)'!B16,'Solution 1, (hidden)'!B16)</f>
        <v>11</v>
      </c>
      <c r="F23" s="31">
        <f>'Solution 1, (hidden)'!W16</f>
        <v>-77400.699495095876</v>
      </c>
      <c r="G23" s="31">
        <f>'Solution  2, (hidden)'!W16</f>
        <v>-127721.32788226767</v>
      </c>
      <c r="H23" s="31">
        <f>'Solution 1, (hidden)'!R16</f>
        <v>-55429.119775288513</v>
      </c>
      <c r="I23" s="31">
        <f>'Solution  2, (hidden)'!R16</f>
        <v>-17863.42928323058</v>
      </c>
      <c r="J23" s="31">
        <f>'Solution 1, (hidden) (2)'!R16</f>
        <v>-29218.380597200285</v>
      </c>
      <c r="K23" s="31">
        <f>'Solution  2, (hidden) (2)'!R16</f>
        <v>112845.66477200859</v>
      </c>
      <c r="L23" s="35">
        <f>IF('4. Cash flow '!E23&lt;('2. Inputs and results'!$B$23+1),'Solution 1, (hidden)'!C16-'Solution 1, (hidden)'!M16," ")</f>
        <v>9620</v>
      </c>
      <c r="M23" s="35">
        <f>IF(E23&lt;('2. Inputs and results'!$C$23+1),'Solution  2, (hidden)'!C16-'Solution  2, (hidden)'!M16," ")</f>
        <v>50300</v>
      </c>
      <c r="N23" s="37">
        <f>IF('4. Cash flow '!E23&lt;('2. Inputs and results'!$B$23+1),'Solution 1, (hidden)'!G16+'Solution 1, (hidden)'!I16+'Solution 1, (hidden)'!H16+'Solution 1, (hidden)'!J16-'Solution 1, (hidden)'!M16," ")</f>
        <v>13561.281707283641</v>
      </c>
      <c r="O23" s="37">
        <f>IF(E23&lt;('2. Inputs and results'!$C$23+1),'Solution  2, (hidden)'!G16+'Solution  2, (hidden)'!I16+'Solution  2, (hidden)'!H16+'Solution  2, (hidden)'!J16-'Solution  2, (hidden)'!M16," ")</f>
        <v>70006.408536418225</v>
      </c>
      <c r="P23" s="37">
        <f>IF('4. Cash flow '!E23&lt;('2. Inputs and results'!$B$23+1),'Solution 1, (hidden) (2)'!G16+'Solution 1, (hidden) (2)'!I16+'Solution 1, (hidden) (2)'!H16+'Solution 1, (hidden) (2)'!J16-'Solution 1, (hidden) (2)'!M16," ")</f>
        <v>18683.114602381105</v>
      </c>
      <c r="Q23" s="37">
        <f>IF(E23&lt;('2. Inputs and results'!$C$23+1),'Solution  2, (hidden) (2)'!G16+'Solution  2, (hidden) (2)'!I16+'Solution  2, (hidden) (2)'!H16+'Solution  2, (hidden) (2)'!J16-'Solution  2, (hidden) (2)'!M16," ")</f>
        <v>95615.573011905581</v>
      </c>
    </row>
    <row r="24" spans="3:17">
      <c r="C24">
        <f>'Solution 1, (hidden)'!B17</f>
        <v>12</v>
      </c>
      <c r="D24">
        <f>'Solution  2, (hidden)'!B17</f>
        <v>12</v>
      </c>
      <c r="E24">
        <f>IF('2. Inputs and results'!$C$23&gt;='2. Inputs and results'!$B$23,'Solution  2, (hidden)'!B17,'Solution 1, (hidden)'!B17)</f>
        <v>12</v>
      </c>
      <c r="F24" s="31">
        <f>'Solution 1, (hidden)'!W17</f>
        <v>-69328.713484997788</v>
      </c>
      <c r="G24" s="31">
        <f>'Solution  2, (hidden)'!W17</f>
        <v>-79975.754439913013</v>
      </c>
      <c r="H24" s="31">
        <f>'Solution 1, (hidden)'!R17</f>
        <v>-42514.382012292132</v>
      </c>
      <c r="I24" s="31">
        <f>'Solution  2, (hidden)'!R17</f>
        <v>54095.902923615577</v>
      </c>
      <c r="J24" s="31">
        <f>'Solution 1, (hidden) (2)'!R17</f>
        <v>-9888.246730620318</v>
      </c>
      <c r="K24" s="31">
        <f>'Solution  2, (hidden) (2)'!R17</f>
        <v>214618.17216462852</v>
      </c>
      <c r="L24" s="35">
        <f>IF('4. Cash flow '!E24&lt;('2. Inputs and results'!$B$23+1),'Solution 1, (hidden)'!C17-'Solution 1, (hidden)'!M17," ")</f>
        <v>9620</v>
      </c>
      <c r="M24" s="35">
        <f>IF(E24&lt;('2. Inputs and results'!$C$23+1),'Solution  2, (hidden)'!C17-'Solution  2, (hidden)'!M17," ")</f>
        <v>50300</v>
      </c>
      <c r="N24" s="37">
        <f>IF('4. Cash flow '!E24&lt;('2. Inputs and results'!$B$23+1),'Solution 1, (hidden)'!G17+'Solution 1, (hidden)'!I17+'Solution 1, (hidden)'!H17+'Solution 1, (hidden)'!J17-'Solution 1, (hidden)'!M17," ")</f>
        <v>14023.320158502151</v>
      </c>
      <c r="O24" s="37">
        <f>IF(E24&lt;('2. Inputs and results'!$C$23+1),'Solution  2, (hidden)'!G17+'Solution  2, (hidden)'!I17+'Solution  2, (hidden)'!H17+'Solution  2, (hidden)'!J17-'Solution  2, (hidden)'!M17," ")</f>
        <v>72316.60079251077</v>
      </c>
      <c r="P24" s="37">
        <f>IF('4. Cash flow '!E24&lt;('2. Inputs and results'!$B$23+1),'Solution 1, (hidden) (2)'!G17+'Solution 1, (hidden) (2)'!I17+'Solution 1, (hidden) (2)'!H17+'Solution 1, (hidden) (2)'!J17-'Solution 1, (hidden) (2)'!M17," ")</f>
        <v>19914.501478523973</v>
      </c>
      <c r="Q24" s="37">
        <f>IF(E24&lt;('2. Inputs and results'!$C$23+1),'Solution  2, (hidden) (2)'!G17+'Solution  2, (hidden) (2)'!I17+'Solution  2, (hidden) (2)'!H17+'Solution  2, (hidden) (2)'!J17-'Solution  2, (hidden) (2)'!M17," ")</f>
        <v>101772.50739261993</v>
      </c>
    </row>
    <row r="25" spans="3:17">
      <c r="C25">
        <f>'Solution 1, (hidden)'!B18</f>
        <v>13</v>
      </c>
      <c r="D25">
        <f>'Solution  2, (hidden)'!B18</f>
        <v>13</v>
      </c>
      <c r="E25">
        <f>IF('2. Inputs and results'!$C$23&gt;='2. Inputs and results'!$B$23,'Solution  2, (hidden)'!B18,'Solution 1, (hidden)'!B18)</f>
        <v>13</v>
      </c>
      <c r="F25" s="31">
        <f>'Solution 1, (hidden)'!W18</f>
        <v>-61095.287754697747</v>
      </c>
      <c r="G25" s="31">
        <f>'Solution  2, (hidden)'!W18</f>
        <v>-31275.269528711273</v>
      </c>
      <c r="H25" s="31">
        <f>'Solution 1, (hidden)'!R18</f>
        <v>-28865.449889280761</v>
      </c>
      <c r="I25" s="31">
        <f>'Solution  2, (hidden)'!R18</f>
        <v>128792.00173990167</v>
      </c>
      <c r="J25" s="31">
        <f>'Solution 1, (hidden) (2)'!R18</f>
        <v>11133.759902002685</v>
      </c>
      <c r="K25" s="31">
        <f>'Solution  2, (hidden) (2)'!R18</f>
        <v>322917.03000080568</v>
      </c>
      <c r="L25" s="35">
        <f>IF('4. Cash flow '!E25&lt;('2. Inputs and results'!$B$23+1),'Solution 1, (hidden)'!C18-'Solution 1, (hidden)'!M18," ")</f>
        <v>9620</v>
      </c>
      <c r="M25" s="35">
        <f>IF(E25&lt;('2. Inputs and results'!$C$23+1),'Solution  2, (hidden)'!C18-'Solution  2, (hidden)'!M18," ")</f>
        <v>50300</v>
      </c>
      <c r="N25" s="37">
        <f>IF('4. Cash flow '!E25&lt;('2. Inputs and results'!$B$23+1),'Solution 1, (hidden)'!G18+'Solution 1, (hidden)'!I18+'Solution 1, (hidden)'!H18+'Solution 1, (hidden)'!J18-'Solution 1, (hidden)'!M18," ")</f>
        <v>14499.219763257213</v>
      </c>
      <c r="O25" s="37">
        <f>IF(E25&lt;('2. Inputs and results'!$C$23+1),'Solution  2, (hidden)'!G18+'Solution  2, (hidden)'!I18+'Solution  2, (hidden)'!H18+'Solution  2, (hidden)'!J18-'Solution  2, (hidden)'!M18," ")</f>
        <v>74696.098816286089</v>
      </c>
      <c r="P25" s="37">
        <f>IF('4. Cash flow '!E25&lt;('2. Inputs and results'!$B$23+1),'Solution 1, (hidden) (2)'!G18+'Solution 1, (hidden) (2)'!I18+'Solution 1, (hidden) (2)'!H18+'Solution 1, (hidden) (2)'!J18-'Solution 1, (hidden) (2)'!M18," ")</f>
        <v>21219.77156723541</v>
      </c>
      <c r="Q25" s="37">
        <f>IF(E25&lt;('2. Inputs and results'!$C$23+1),'Solution  2, (hidden) (2)'!G18+'Solution  2, (hidden) (2)'!I18+'Solution  2, (hidden) (2)'!H18+'Solution  2, (hidden) (2)'!J18-'Solution  2, (hidden) (2)'!M18," ")</f>
        <v>108298.85783617712</v>
      </c>
    </row>
    <row r="26" spans="3:17">
      <c r="C26">
        <f>'Solution 1, (hidden)'!B19</f>
        <v>14</v>
      </c>
      <c r="D26">
        <f>'Solution  2, (hidden)'!B19</f>
        <v>14</v>
      </c>
      <c r="E26">
        <f>IF('2. Inputs and results'!$C$23&gt;='2. Inputs and results'!$B$23,'Solution  2, (hidden)'!B19,'Solution 1, (hidden)'!B19)</f>
        <v>14</v>
      </c>
      <c r="F26" s="31">
        <f>'Solution 1, (hidden)'!W19</f>
        <v>-52697.193509791701</v>
      </c>
      <c r="G26" s="31">
        <f>'Solution  2, (hidden)'!W19</f>
        <v>18399.225080714503</v>
      </c>
      <c r="H26" s="31">
        <f>'Solution 1, (hidden)'!R19</f>
        <v>-14453.362530911443</v>
      </c>
      <c r="I26" s="31">
        <f>'Solution  2, (hidden)'!R19</f>
        <v>205938.98352067632</v>
      </c>
      <c r="J26" s="31">
        <f>'Solution 1, (hidden) (2)'!R19</f>
        <v>33737.117763272225</v>
      </c>
      <c r="K26" s="31">
        <f>'Solution  2, (hidden) (2)'!R19</f>
        <v>438133.8193071534</v>
      </c>
      <c r="L26" s="35">
        <f>IF('4. Cash flow '!E26&lt;('2. Inputs and results'!$B$23+1),'Solution 1, (hidden)'!C19-'Solution 1, (hidden)'!M19," ")</f>
        <v>9620</v>
      </c>
      <c r="M26" s="35">
        <f>IF(E26&lt;('2. Inputs and results'!$C$23+1),'Solution  2, (hidden)'!C19-'Solution  2, (hidden)'!M19," ")</f>
        <v>50300</v>
      </c>
      <c r="N26" s="37">
        <f>IF('4. Cash flow '!E26&lt;('2. Inputs and results'!$B$23+1),'Solution 1, (hidden)'!G19+'Solution 1, (hidden)'!I19+'Solution 1, (hidden)'!H19+'Solution 1, (hidden)'!J19-'Solution 1, (hidden)'!M19," ")</f>
        <v>14989.396356154932</v>
      </c>
      <c r="O26" s="37">
        <f>IF(E26&lt;('2. Inputs and results'!$C$23+1),'Solution  2, (hidden)'!G19+'Solution  2, (hidden)'!I19+'Solution  2, (hidden)'!H19+'Solution  2, (hidden)'!J19-'Solution  2, (hidden)'!M19," ")</f>
        <v>77146.981780774673</v>
      </c>
      <c r="P26" s="37">
        <f>IF('4. Cash flow '!E26&lt;('2. Inputs and results'!$B$23+1),'Solution 1, (hidden) (2)'!G19+'Solution 1, (hidden) (2)'!I19+'Solution 1, (hidden) (2)'!H19+'Solution 1, (hidden) (2)'!J19-'Solution 1, (hidden) (2)'!M19," ")</f>
        <v>22603.357861269535</v>
      </c>
      <c r="Q26" s="37">
        <f>IF(E26&lt;('2. Inputs and results'!$C$23+1),'Solution  2, (hidden) (2)'!G19+'Solution  2, (hidden) (2)'!I19+'Solution  2, (hidden) (2)'!H19+'Solution  2, (hidden) (2)'!J19-'Solution  2, (hidden) (2)'!M19," ")</f>
        <v>115216.78930634775</v>
      </c>
    </row>
    <row r="27" spans="3:17">
      <c r="C27">
        <f>'Solution 1, (hidden)'!B20</f>
        <v>15</v>
      </c>
      <c r="D27">
        <f>'Solution  2, (hidden)'!B20</f>
        <v>15</v>
      </c>
      <c r="E27">
        <f>IF('2. Inputs and results'!$C$23&gt;='2. Inputs and results'!$B$23,'Solution  2, (hidden)'!B20,'Solution 1, (hidden)'!B20)</f>
        <v>15</v>
      </c>
      <c r="F27" s="31">
        <f>'Solution 1, (hidden)'!W20</f>
        <v>-44131.137379987536</v>
      </c>
      <c r="G27" s="31">
        <f>'Solution  2, (hidden)'!W20</f>
        <v>68699.225080714503</v>
      </c>
      <c r="H27" s="31">
        <f>'Solution 1, (hidden)'!R20</f>
        <v>751.84846530990671</v>
      </c>
      <c r="I27" s="31">
        <f>'Solution  2, (hidden)'!R20</f>
        <v>285610.37475487427</v>
      </c>
      <c r="J27" s="31">
        <f>'Solution 1, (hidden) (2)'!R20</f>
        <v>57807.077096217938</v>
      </c>
      <c r="K27" s="31">
        <f>'Solution  2, (hidden) (2)'!R20</f>
        <v>560683.61597188213</v>
      </c>
      <c r="L27" s="35">
        <f>IF('4. Cash flow '!E27&lt;('2. Inputs and results'!$B$23+1),'Solution 1, (hidden)'!C20-'Solution 1, (hidden)'!M20," ")</f>
        <v>9620</v>
      </c>
      <c r="M27" s="35">
        <f>IF(E27&lt;('2. Inputs and results'!$C$23+1),'Solution  2, (hidden)'!C20-'Solution  2, (hidden)'!M20," ")</f>
        <v>50300</v>
      </c>
      <c r="N27" s="37">
        <f>IF('4. Cash flow '!E27&lt;('2. Inputs and results'!$B$23+1),'Solution 1, (hidden)'!G20+'Solution 1, (hidden)'!I20+'Solution 1, (hidden)'!H20+'Solution 1, (hidden)'!J20-'Solution 1, (hidden)'!M20," ")</f>
        <v>15494.278246839578</v>
      </c>
      <c r="O27" s="37">
        <f>IF(E27&lt;('2. Inputs and results'!$C$23+1),'Solution  2, (hidden)'!G20+'Solution  2, (hidden)'!I20+'Solution  2, (hidden)'!H20+'Solution  2, (hidden)'!J20-'Solution  2, (hidden)'!M20," ")</f>
        <v>79671.391234197916</v>
      </c>
      <c r="P27" s="37">
        <f>IF('4. Cash flow '!E27&lt;('2. Inputs and results'!$B$23+1),'Solution 1, (hidden) (2)'!G20+'Solution 1, (hidden) (2)'!I20+'Solution 1, (hidden) (2)'!H20+'Solution 1, (hidden) (2)'!J20-'Solution 1, (hidden) (2)'!M20," ")</f>
        <v>24069.959332945709</v>
      </c>
      <c r="Q27" s="37">
        <f>IF(E27&lt;('2. Inputs and results'!$C$23+1),'Solution  2, (hidden) (2)'!G20+'Solution  2, (hidden) (2)'!I20+'Solution  2, (hidden) (2)'!H20+'Solution  2, (hidden) (2)'!J20-'Solution  2, (hidden) (2)'!M20," ")</f>
        <v>122549.79666472864</v>
      </c>
    </row>
    <row r="28" spans="3:17">
      <c r="C28">
        <f>'Solution 1, (hidden)'!B21</f>
        <v>16</v>
      </c>
      <c r="D28">
        <f>'Solution  2, (hidden)'!B21</f>
        <v>16</v>
      </c>
      <c r="E28">
        <f>IF('2. Inputs and results'!$C$23&gt;='2. Inputs and results'!$B$23,'Solution  2, (hidden)'!B21,'Solution 1, (hidden)'!B21)</f>
        <v>16</v>
      </c>
      <c r="F28" s="31">
        <f>'Solution 1, (hidden)'!W21</f>
        <v>-35393.760127587288</v>
      </c>
      <c r="G28" s="31">
        <f>'Solution  2, (hidden)'!W21</f>
        <v>118999.2250807145</v>
      </c>
      <c r="H28" s="31">
        <f>'Solution 1, (hidden)'!R21</f>
        <v>16766.155059554672</v>
      </c>
      <c r="I28" s="31">
        <f>'Solution  2, (hidden)'!R21</f>
        <v>367881.90772609808</v>
      </c>
      <c r="J28" s="31">
        <f>'Solution 1, (hidden) (2)'!R21</f>
        <v>83431.633989140391</v>
      </c>
      <c r="K28" s="31">
        <f>'Solution  2, (hidden) (2)'!R21</f>
        <v>691006.4004364945</v>
      </c>
      <c r="L28" s="35">
        <f>IF('4. Cash flow '!E28&lt;('2. Inputs and results'!$B$23+1),'Solution 1, (hidden)'!C21-'Solution 1, (hidden)'!M21," ")</f>
        <v>9620</v>
      </c>
      <c r="M28" s="35">
        <f>IF(E28&lt;('2. Inputs and results'!$C$23+1),'Solution  2, (hidden)'!C21-'Solution  2, (hidden)'!M21," ")</f>
        <v>50300</v>
      </c>
      <c r="N28" s="37">
        <f>IF('4. Cash flow '!E28&lt;('2. Inputs and results'!$B$23+1),'Solution 1, (hidden)'!G21+'Solution 1, (hidden)'!I21+'Solution 1, (hidden)'!H21+'Solution 1, (hidden)'!J21-'Solution 1, (hidden)'!M21," ")</f>
        <v>16014.306594244765</v>
      </c>
      <c r="O28" s="37">
        <f>IF(E28&lt;('2. Inputs and results'!$C$23+1),'Solution  2, (hidden)'!G21+'Solution  2, (hidden)'!I21+'Solution  2, (hidden)'!H21+'Solution  2, (hidden)'!J21-'Solution  2, (hidden)'!M21," ")</f>
        <v>82271.532971223845</v>
      </c>
      <c r="P28" s="37">
        <f>IF('4. Cash flow '!E28&lt;('2. Inputs and results'!$B$23+1),'Solution 1, (hidden) (2)'!G21+'Solution 1, (hidden) (2)'!I21+'Solution 1, (hidden) (2)'!H21+'Solution 1, (hidden) (2)'!J21-'Solution 1, (hidden) (2)'!M21," ")</f>
        <v>25624.556892922454</v>
      </c>
      <c r="Q28" s="37">
        <f>IF(E28&lt;('2. Inputs and results'!$C$23+1),'Solution  2, (hidden) (2)'!G21+'Solution  2, (hidden) (2)'!I21+'Solution  2, (hidden) (2)'!H21+'Solution  2, (hidden) (2)'!J21-'Solution  2, (hidden) (2)'!M21," ")</f>
        <v>130322.78446461234</v>
      </c>
    </row>
    <row r="29" spans="3:17">
      <c r="C29">
        <f>'Solution 1, (hidden)'!B22</f>
        <v>17</v>
      </c>
      <c r="D29">
        <f>'Solution  2, (hidden)'!B22</f>
        <v>17</v>
      </c>
      <c r="E29">
        <f>IF('2. Inputs and results'!$C$23&gt;='2. Inputs and results'!$B$23,'Solution  2, (hidden)'!B22,'Solution 1, (hidden)'!B22)</f>
        <v>17</v>
      </c>
      <c r="F29" s="31">
        <f>'Solution 1, (hidden)'!W22</f>
        <v>-26481.635330139034</v>
      </c>
      <c r="G29" s="31">
        <f>'Solution  2, (hidden)'!W22</f>
        <v>169299.2250807145</v>
      </c>
      <c r="H29" s="31">
        <f>'Solution 1, (hidden)'!R22</f>
        <v>33316.090851626781</v>
      </c>
      <c r="I29" s="31">
        <f>'Solution  2, (hidden)'!R22</f>
        <v>452831.58668645861</v>
      </c>
      <c r="J29" s="31">
        <f>'Solution 1, (hidden) (2)'!R22</f>
        <v>110704.06429563819</v>
      </c>
      <c r="K29" s="31">
        <f>'Solution  2, (hidden) (2)'!R22</f>
        <v>829568.55196898361</v>
      </c>
      <c r="L29" s="35">
        <f>IF('4. Cash flow '!E29&lt;('2. Inputs and results'!$B$23+1),'Solution 1, (hidden)'!C22-'Solution 1, (hidden)'!M22," ")</f>
        <v>9620</v>
      </c>
      <c r="M29" s="35">
        <f>IF(E29&lt;('2. Inputs and results'!$C$23+1),'Solution  2, (hidden)'!C22-'Solution  2, (hidden)'!M22," ")</f>
        <v>50300</v>
      </c>
      <c r="N29" s="37">
        <f>IF('4. Cash flow '!E29&lt;('2. Inputs and results'!$B$23+1),'Solution 1, (hidden)'!G22+'Solution 1, (hidden)'!I22+'Solution 1, (hidden)'!H22+'Solution 1, (hidden)'!J22-'Solution 1, (hidden)'!M22," ")</f>
        <v>16549.935792072112</v>
      </c>
      <c r="O29" s="37">
        <f>IF(E29&lt;('2. Inputs and results'!$C$23+1),'Solution  2, (hidden)'!G22+'Solution  2, (hidden)'!I22+'Solution  2, (hidden)'!H22+'Solution  2, (hidden)'!J22-'Solution  2, (hidden)'!M22," ")</f>
        <v>84949.678960360572</v>
      </c>
      <c r="P29" s="37">
        <f>IF('4. Cash flow '!E29&lt;('2. Inputs and results'!$B$23+1),'Solution 1, (hidden) (2)'!G22+'Solution 1, (hidden) (2)'!I22+'Solution 1, (hidden) (2)'!H22+'Solution 1, (hidden) (2)'!J22-'Solution 1, (hidden) (2)'!M22," ")</f>
        <v>27272.430306497801</v>
      </c>
      <c r="Q29" s="37">
        <f>IF(E29&lt;('2. Inputs and results'!$C$23+1),'Solution  2, (hidden) (2)'!G22+'Solution  2, (hidden) (2)'!I22+'Solution  2, (hidden) (2)'!H22+'Solution  2, (hidden) (2)'!J22-'Solution  2, (hidden) (2)'!M22," ")</f>
        <v>138562.15153248911</v>
      </c>
    </row>
    <row r="30" spans="3:17">
      <c r="C30">
        <f>'Solution 1, (hidden)'!B23</f>
        <v>18</v>
      </c>
      <c r="D30">
        <f>'Solution  2, (hidden)'!B23</f>
        <v>18</v>
      </c>
      <c r="E30">
        <f>IF('2. Inputs and results'!$C$23&gt;='2. Inputs and results'!$B$23,'Solution  2, (hidden)'!B23,'Solution 1, (hidden)'!B23)</f>
        <v>18</v>
      </c>
      <c r="F30" s="31">
        <f>'Solution 1, (hidden)'!W23</f>
        <v>-17391.268036741814</v>
      </c>
      <c r="G30" s="31">
        <f>'Solution  2, (hidden)'!W23</f>
        <v>219599.2250807145</v>
      </c>
      <c r="H30" s="31">
        <f>'Solution 1, (hidden)'!R23</f>
        <v>50417.724717461053</v>
      </c>
      <c r="I30" s="31">
        <f>'Solution  2, (hidden)'!R23</f>
        <v>540539.75601562997</v>
      </c>
      <c r="J30" s="31">
        <f>'Solution 1, (hidden) (2)'!R23</f>
        <v>139723.24042052586</v>
      </c>
      <c r="K30" s="31">
        <f>'Solution  2, (hidden) (2)'!R23</f>
        <v>976864.43259342213</v>
      </c>
      <c r="L30" s="35">
        <f>IF('4. Cash flow '!E30&lt;('2. Inputs and results'!$B$23+1),'Solution 1, (hidden)'!C23-'Solution 1, (hidden)'!M23," ")</f>
        <v>9620</v>
      </c>
      <c r="M30" s="35">
        <f>IF(E30&lt;('2. Inputs and results'!$C$23+1),'Solution  2, (hidden)'!C23-'Solution  2, (hidden)'!M23," ")</f>
        <v>50300</v>
      </c>
      <c r="N30" s="37">
        <f>IF('4. Cash flow '!E30&lt;('2. Inputs and results'!$B$23+1),'Solution 1, (hidden)'!G23+'Solution 1, (hidden)'!I23+'Solution 1, (hidden)'!H23+'Solution 1, (hidden)'!J23-'Solution 1, (hidden)'!M23," ")</f>
        <v>17101.633865834276</v>
      </c>
      <c r="O30" s="37">
        <f>IF(E30&lt;('2. Inputs and results'!$C$23+1),'Solution  2, (hidden)'!G23+'Solution  2, (hidden)'!I23+'Solution  2, (hidden)'!H23+'Solution  2, (hidden)'!J23-'Solution  2, (hidden)'!M23," ")</f>
        <v>87708.169329171375</v>
      </c>
      <c r="P30" s="37">
        <f>IF('4. Cash flow '!E30&lt;('2. Inputs and results'!$B$23+1),'Solution 1, (hidden) (2)'!G23+'Solution 1, (hidden) (2)'!I23+'Solution 1, (hidden) (2)'!H23+'Solution 1, (hidden) (2)'!J23-'Solution 1, (hidden) (2)'!M23," ")</f>
        <v>29019.176124887672</v>
      </c>
      <c r="Q30" s="37">
        <f>IF(E30&lt;('2. Inputs and results'!$C$23+1),'Solution  2, (hidden) (2)'!G23+'Solution  2, (hidden) (2)'!I23+'Solution  2, (hidden) (2)'!H23+'Solution  2, (hidden) (2)'!J23-'Solution  2, (hidden) (2)'!M23," ")</f>
        <v>147295.88062443846</v>
      </c>
    </row>
    <row r="31" spans="3:17">
      <c r="C31">
        <f>'Solution 1, (hidden)'!B24</f>
        <v>19</v>
      </c>
      <c r="D31">
        <f>'Solution  2, (hidden)'!B24</f>
        <v>19</v>
      </c>
      <c r="E31">
        <f>IF('2. Inputs and results'!$C$23&gt;='2. Inputs and results'!$B$23,'Solution  2, (hidden)'!B24,'Solution 1, (hidden)'!B24)</f>
        <v>19</v>
      </c>
      <c r="F31" s="31">
        <f>'Solution 1, (hidden)'!W24</f>
        <v>-8119.0933974766504</v>
      </c>
      <c r="G31" s="31">
        <f>'Solution  2, (hidden)'!W24</f>
        <v>269899.2250807145</v>
      </c>
      <c r="H31" s="31">
        <f>'Solution 1, (hidden)'!R24</f>
        <v>68087.60759927037</v>
      </c>
      <c r="I31" s="31">
        <f>'Solution  2, (hidden)'!R24</f>
        <v>631089.1704246765</v>
      </c>
      <c r="J31" s="31">
        <f>'Solution 1, (hidden) (2)'!R24</f>
        <v>170593.9671129068</v>
      </c>
      <c r="K31" s="31">
        <f>'Solution  2, (hidden) (2)'!R24</f>
        <v>1133418.0660553267</v>
      </c>
      <c r="L31" s="35">
        <f>IF('4. Cash flow '!E31&lt;('2. Inputs and results'!$B$23+1),'Solution 1, (hidden)'!C24-'Solution 1, (hidden)'!M24," ")</f>
        <v>9620</v>
      </c>
      <c r="M31" s="35">
        <f>IF(E31&lt;('2. Inputs and results'!$C$23+1),'Solution  2, (hidden)'!C24-'Solution  2, (hidden)'!M24," ")</f>
        <v>50300</v>
      </c>
      <c r="N31" s="37">
        <f>IF('4. Cash flow '!E31&lt;('2. Inputs and results'!$B$23+1),'Solution 1, (hidden)'!G24+'Solution 1, (hidden)'!I24+'Solution 1, (hidden)'!H24+'Solution 1, (hidden)'!J24-'Solution 1, (hidden)'!M24," ")</f>
        <v>17669.882881809302</v>
      </c>
      <c r="O31" s="37">
        <f>IF(E31&lt;('2. Inputs and results'!$C$23+1),'Solution  2, (hidden)'!G24+'Solution  2, (hidden)'!I24+'Solution  2, (hidden)'!H24+'Solution  2, (hidden)'!J24-'Solution  2, (hidden)'!M24," ")</f>
        <v>90549.414409046527</v>
      </c>
      <c r="P31" s="37">
        <f>IF('4. Cash flow '!E31&lt;('2. Inputs and results'!$B$23+1),'Solution 1, (hidden) (2)'!G24+'Solution 1, (hidden) (2)'!I24+'Solution 1, (hidden) (2)'!H24+'Solution 1, (hidden) (2)'!J24-'Solution 1, (hidden) (2)'!M24," ")</f>
        <v>30870.726692380933</v>
      </c>
      <c r="Q31" s="37">
        <f>IF(E31&lt;('2. Inputs and results'!$C$23+1),'Solution  2, (hidden) (2)'!G24+'Solution  2, (hidden) (2)'!I24+'Solution  2, (hidden) (2)'!H24+'Solution  2, (hidden) (2)'!J24-'Solution  2, (hidden) (2)'!M24," ")</f>
        <v>156553.63346190477</v>
      </c>
    </row>
    <row r="32" spans="3:17">
      <c r="C32">
        <f>'Solution 1, (hidden)'!B25</f>
        <v>20</v>
      </c>
      <c r="D32">
        <f>'Solution  2, (hidden)'!B25</f>
        <v>20</v>
      </c>
      <c r="E32">
        <f>IF('2. Inputs and results'!$C$23&gt;='2. Inputs and results'!$B$23,'Solution  2, (hidden)'!B25,'Solution 1, (hidden)'!B25)</f>
        <v>20</v>
      </c>
      <c r="F32" s="31">
        <f>'Solution 1, (hidden)'!W25</f>
        <v>1338.5247345738167</v>
      </c>
      <c r="G32" s="31">
        <f>'Solution  2, (hidden)'!W25</f>
        <v>320199.2250807145</v>
      </c>
      <c r="H32" s="31">
        <f>'Solution 1, (hidden)'!R25</f>
        <v>86342.786967533961</v>
      </c>
      <c r="I32" s="31">
        <f>'Solution  2, (hidden)'!R25</f>
        <v>724565.06726599438</v>
      </c>
      <c r="J32" s="31">
        <f>'Solution 1, (hidden) (2)'!R25</f>
        <v>203427.3374068306</v>
      </c>
      <c r="K32" s="31">
        <f>'Solution  2, (hidden) (2)'!R25</f>
        <v>1299784.9175249459</v>
      </c>
      <c r="L32" s="35">
        <f>IF('4. Cash flow '!E32&lt;('2. Inputs and results'!$B$23+1),'Solution 1, (hidden)'!C25-'Solution 1, (hidden)'!M25," ")</f>
        <v>9620</v>
      </c>
      <c r="M32" s="35">
        <f>IF(E32&lt;('2. Inputs and results'!$C$23+1),'Solution  2, (hidden)'!C25-'Solution  2, (hidden)'!M25," ")</f>
        <v>50300</v>
      </c>
      <c r="N32" s="37">
        <f>IF('4. Cash flow '!E32&lt;('2. Inputs and results'!$B$23+1),'Solution 1, (hidden)'!G25+'Solution 1, (hidden)'!I25+'Solution 1, (hidden)'!H25+'Solution 1, (hidden)'!J25-'Solution 1, (hidden)'!M25," ")</f>
        <v>18255.179368263583</v>
      </c>
      <c r="O32" s="37">
        <f>IF(E32&lt;('2. Inputs and results'!$C$23+1),'Solution  2, (hidden)'!G25+'Solution  2, (hidden)'!I25+'Solution  2, (hidden)'!H25+'Solution  2, (hidden)'!J25-'Solution  2, (hidden)'!M25," ")</f>
        <v>93475.896841317925</v>
      </c>
      <c r="P32" s="37">
        <f>IF('4. Cash flow '!E32&lt;('2. Inputs and results'!$B$23+1),'Solution 1, (hidden) (2)'!G25+'Solution 1, (hidden) (2)'!I25+'Solution 1, (hidden) (2)'!H25+'Solution 1, (hidden) (2)'!J25-'Solution 1, (hidden) (2)'!M25," ")</f>
        <v>32833.370293923785</v>
      </c>
      <c r="Q32" s="37">
        <f>IF(E32&lt;('2. Inputs and results'!$C$23+1),'Solution  2, (hidden) (2)'!G25+'Solution  2, (hidden) (2)'!I25+'Solution  2, (hidden) (2)'!H25+'Solution  2, (hidden) (2)'!J25-'Solution  2, (hidden) (2)'!M25," ")</f>
        <v>166366.85146961905</v>
      </c>
    </row>
    <row r="33" spans="3:17">
      <c r="C33" t="str">
        <f>'Solution 1, (hidden)'!B26</f>
        <v xml:space="preserve"> </v>
      </c>
      <c r="D33" t="str">
        <f>'Solution  2, (hidden)'!B26</f>
        <v xml:space="preserve"> </v>
      </c>
      <c r="E33" t="str">
        <f>IF('2. Inputs and results'!$C$23&gt;='2. Inputs and results'!$B$23,'Solution  2, (hidden)'!B26,'Solution 1, (hidden)'!B26)</f>
        <v xml:space="preserve"> </v>
      </c>
      <c r="F33" s="31" t="e">
        <f>'Solution 1, (hidden)'!W26</f>
        <v>#N/A</v>
      </c>
      <c r="G33" s="31" t="e">
        <f>'Solution  2, (hidden)'!W26</f>
        <v>#N/A</v>
      </c>
      <c r="H33" s="31" t="e">
        <f>'Solution 1, (hidden)'!R26</f>
        <v>#N/A</v>
      </c>
      <c r="I33" s="31" t="e">
        <f>'Solution  2, (hidden)'!R26</f>
        <v>#N/A</v>
      </c>
      <c r="J33" s="31" t="e">
        <f>'Solution 1, (hidden) (2)'!R26</f>
        <v>#N/A</v>
      </c>
      <c r="K33" s="31" t="e">
        <f>'Solution  2, (hidden) (2)'!R26</f>
        <v>#N/A</v>
      </c>
      <c r="L33" s="35" t="str">
        <f>IF('4. Cash flow '!E33&lt;('2. Inputs and results'!$B$23+1),'Solution 1, (hidden)'!C26-'Solution 1, (hidden)'!M26," ")</f>
        <v xml:space="preserve"> </v>
      </c>
      <c r="M33" s="35" t="str">
        <f>IF(E33&lt;('2. Inputs and results'!$C$23+1),'Solution  2, (hidden)'!C26-'Solution  2, (hidden)'!M26," ")</f>
        <v xml:space="preserve"> </v>
      </c>
      <c r="N33" s="37" t="str">
        <f>IF('4. Cash flow '!E33&lt;('2. Inputs and results'!$B$23+1),'Solution 1, (hidden)'!G26+'Solution 1, (hidden)'!I26+'Solution 1, (hidden)'!H26+'Solution 1, (hidden)'!J26-'Solution 1, (hidden)'!M26," ")</f>
        <v xml:space="preserve"> </v>
      </c>
      <c r="O33" s="37" t="str">
        <f>IF(E33&lt;('2. Inputs and results'!$C$23+1),'Solution  2, (hidden)'!G26+'Solution  2, (hidden)'!I26+'Solution  2, (hidden)'!H26+'Solution  2, (hidden)'!J26-'Solution  2, (hidden)'!M26," ")</f>
        <v xml:space="preserve"> </v>
      </c>
      <c r="P33" s="37" t="str">
        <f>IF('4. Cash flow '!E33&lt;('2. Inputs and results'!$B$23+1),'Solution 1, (hidden) (2)'!G26+'Solution 1, (hidden) (2)'!I26+'Solution 1, (hidden) (2)'!H26+'Solution 1, (hidden) (2)'!J26-'Solution 1, (hidden) (2)'!M26," ")</f>
        <v xml:space="preserve"> </v>
      </c>
      <c r="Q33" s="37" t="str">
        <f>IF(E33&lt;('2. Inputs and results'!$C$23+1),'Solution  2, (hidden) (2)'!G26+'Solution  2, (hidden) (2)'!I26+'Solution  2, (hidden) (2)'!H26+'Solution  2, (hidden) (2)'!J26-'Solution  2, (hidden) (2)'!M26," ")</f>
        <v xml:space="preserve"> </v>
      </c>
    </row>
    <row r="34" spans="3:17">
      <c r="C34" t="str">
        <f>'Solution 1, (hidden)'!B27</f>
        <v xml:space="preserve"> </v>
      </c>
      <c r="D34" t="str">
        <f>'Solution  2, (hidden)'!B27</f>
        <v xml:space="preserve"> </v>
      </c>
      <c r="E34" t="str">
        <f>IF('2. Inputs and results'!$C$23&gt;='2. Inputs and results'!$B$23,'Solution  2, (hidden)'!B27,'Solution 1, (hidden)'!B27)</f>
        <v xml:space="preserve"> </v>
      </c>
      <c r="F34" s="31" t="e">
        <f>'Solution 1, (hidden)'!W27</f>
        <v>#N/A</v>
      </c>
      <c r="G34" s="31" t="e">
        <f>'Solution  2, (hidden)'!W27</f>
        <v>#N/A</v>
      </c>
      <c r="H34" s="31" t="e">
        <f>'Solution 1, (hidden)'!R27</f>
        <v>#N/A</v>
      </c>
      <c r="I34" s="31" t="e">
        <f>'Solution  2, (hidden)'!R27</f>
        <v>#N/A</v>
      </c>
      <c r="J34" s="31" t="e">
        <f>'Solution 1, (hidden) (2)'!R27</f>
        <v>#N/A</v>
      </c>
      <c r="K34" s="31" t="e">
        <f>'Solution  2, (hidden) (2)'!R27</f>
        <v>#N/A</v>
      </c>
      <c r="L34" s="35" t="str">
        <f>IF('4. Cash flow '!E34&lt;('2. Inputs and results'!$B$23+1),'Solution 1, (hidden)'!C27-'Solution 1, (hidden)'!M27," ")</f>
        <v xml:space="preserve"> </v>
      </c>
      <c r="M34" s="35" t="str">
        <f>IF(E34&lt;('2. Inputs and results'!$C$23+1),'Solution  2, (hidden)'!C27-'Solution  2, (hidden)'!M27," ")</f>
        <v xml:space="preserve"> </v>
      </c>
      <c r="N34" s="37" t="str">
        <f>IF('4. Cash flow '!E34&lt;('2. Inputs and results'!$B$23+1),'Solution 1, (hidden)'!G27+'Solution 1, (hidden)'!I27+'Solution 1, (hidden)'!H27+'Solution 1, (hidden)'!J27-'Solution 1, (hidden)'!M27," ")</f>
        <v xml:space="preserve"> </v>
      </c>
      <c r="O34" s="37" t="str">
        <f>IF(E34&lt;('2. Inputs and results'!$C$23+1),'Solution  2, (hidden)'!G27+'Solution  2, (hidden)'!I27+'Solution  2, (hidden)'!H27+'Solution  2, (hidden)'!J27-'Solution  2, (hidden)'!M27," ")</f>
        <v xml:space="preserve"> </v>
      </c>
      <c r="P34" s="37" t="str">
        <f>IF('4. Cash flow '!E34&lt;('2. Inputs and results'!$B$23+1),'Solution 1, (hidden) (2)'!G27+'Solution 1, (hidden) (2)'!I27+'Solution 1, (hidden) (2)'!H27+'Solution 1, (hidden) (2)'!J27-'Solution 1, (hidden) (2)'!M27," ")</f>
        <v xml:space="preserve"> </v>
      </c>
      <c r="Q34" s="37" t="str">
        <f>IF(E34&lt;('2. Inputs and results'!$C$23+1),'Solution  2, (hidden) (2)'!G27+'Solution  2, (hidden) (2)'!I27+'Solution  2, (hidden) (2)'!H27+'Solution  2, (hidden) (2)'!J27-'Solution  2, (hidden) (2)'!M27," ")</f>
        <v xml:space="preserve"> </v>
      </c>
    </row>
    <row r="35" spans="3:17">
      <c r="C35" t="str">
        <f>'Solution 1, (hidden)'!B28</f>
        <v xml:space="preserve"> </v>
      </c>
      <c r="D35" t="str">
        <f>'Solution  2, (hidden)'!B28</f>
        <v xml:space="preserve"> </v>
      </c>
      <c r="E35" t="str">
        <f>IF('2. Inputs and results'!$C$23&gt;='2. Inputs and results'!$B$23,'Solution  2, (hidden)'!B28,'Solution 1, (hidden)'!B28)</f>
        <v xml:space="preserve"> </v>
      </c>
      <c r="F35" s="31" t="e">
        <f>'Solution 1, (hidden)'!W28</f>
        <v>#N/A</v>
      </c>
      <c r="G35" s="31" t="e">
        <f>'Solution  2, (hidden)'!W28</f>
        <v>#N/A</v>
      </c>
      <c r="H35" s="31" t="e">
        <f>'Solution 1, (hidden)'!R28</f>
        <v>#N/A</v>
      </c>
      <c r="I35" s="31" t="e">
        <f>'Solution  2, (hidden)'!R28</f>
        <v>#N/A</v>
      </c>
      <c r="J35" s="31" t="e">
        <f>'Solution 1, (hidden) (2)'!R28</f>
        <v>#N/A</v>
      </c>
      <c r="K35" s="31" t="e">
        <f>'Solution  2, (hidden) (2)'!R28</f>
        <v>#N/A</v>
      </c>
      <c r="L35" s="35" t="str">
        <f>IF('4. Cash flow '!E35&lt;('2. Inputs and results'!$B$23+1),'Solution 1, (hidden)'!C28-'Solution 1, (hidden)'!M28," ")</f>
        <v xml:space="preserve"> </v>
      </c>
      <c r="M35" s="35" t="str">
        <f>IF(E35&lt;('2. Inputs and results'!$C$23+1),'Solution  2, (hidden)'!C28-'Solution  2, (hidden)'!M28," ")</f>
        <v xml:space="preserve"> </v>
      </c>
      <c r="N35" s="37" t="str">
        <f>IF('4. Cash flow '!E35&lt;('2. Inputs and results'!$B$23+1),'Solution 1, (hidden)'!G28+'Solution 1, (hidden)'!I28+'Solution 1, (hidden)'!H28+'Solution 1, (hidden)'!J28-'Solution 1, (hidden)'!M28," ")</f>
        <v xml:space="preserve"> </v>
      </c>
      <c r="O35" s="37" t="str">
        <f>IF(E35&lt;('2. Inputs and results'!$C$23+1),'Solution  2, (hidden)'!G28+'Solution  2, (hidden)'!I28+'Solution  2, (hidden)'!H28+'Solution  2, (hidden)'!J28-'Solution  2, (hidden)'!M28," ")</f>
        <v xml:space="preserve"> </v>
      </c>
      <c r="P35" s="37" t="str">
        <f>IF('4. Cash flow '!E35&lt;('2. Inputs and results'!$B$23+1),'Solution 1, (hidden) (2)'!G28+'Solution 1, (hidden) (2)'!I28+'Solution 1, (hidden) (2)'!H28+'Solution 1, (hidden) (2)'!J28-'Solution 1, (hidden) (2)'!M28," ")</f>
        <v xml:space="preserve"> </v>
      </c>
      <c r="Q35" s="37" t="str">
        <f>IF(E35&lt;('2. Inputs and results'!$C$23+1),'Solution  2, (hidden) (2)'!G28+'Solution  2, (hidden) (2)'!I28+'Solution  2, (hidden) (2)'!H28+'Solution  2, (hidden) (2)'!J28-'Solution  2, (hidden) (2)'!M28," ")</f>
        <v xml:space="preserve"> </v>
      </c>
    </row>
    <row r="36" spans="3:17">
      <c r="C36" t="str">
        <f>'Solution 1, (hidden)'!B29</f>
        <v xml:space="preserve"> </v>
      </c>
      <c r="D36" t="str">
        <f>'Solution  2, (hidden)'!B29</f>
        <v xml:space="preserve"> </v>
      </c>
      <c r="E36" t="str">
        <f>IF('2. Inputs and results'!$C$23&gt;='2. Inputs and results'!$B$23,'Solution  2, (hidden)'!B29,'Solution 1, (hidden)'!B29)</f>
        <v xml:space="preserve"> </v>
      </c>
      <c r="F36" s="31" t="e">
        <f>'Solution 1, (hidden)'!W29</f>
        <v>#N/A</v>
      </c>
      <c r="G36" s="31" t="e">
        <f>'Solution  2, (hidden)'!W29</f>
        <v>#N/A</v>
      </c>
      <c r="H36" s="31" t="e">
        <f>'Solution 1, (hidden)'!R29</f>
        <v>#N/A</v>
      </c>
      <c r="I36" s="31" t="e">
        <f>'Solution  2, (hidden)'!R29</f>
        <v>#N/A</v>
      </c>
      <c r="J36" s="31" t="e">
        <f>'Solution 1, (hidden) (2)'!R29</f>
        <v>#N/A</v>
      </c>
      <c r="K36" s="31" t="e">
        <f>'Solution  2, (hidden) (2)'!R29</f>
        <v>#N/A</v>
      </c>
      <c r="L36" s="35" t="str">
        <f>IF('4. Cash flow '!E36&lt;('2. Inputs and results'!$B$23+1),'Solution 1, (hidden)'!C29-'Solution 1, (hidden)'!M29," ")</f>
        <v xml:space="preserve"> </v>
      </c>
      <c r="M36" s="35" t="str">
        <f>IF(E36&lt;('2. Inputs and results'!$C$23+1),'Solution  2, (hidden)'!C29-'Solution  2, (hidden)'!M29," ")</f>
        <v xml:space="preserve"> </v>
      </c>
      <c r="N36" s="37" t="str">
        <f>IF('4. Cash flow '!E36&lt;('2. Inputs and results'!$B$23+1),'Solution 1, (hidden)'!G29+'Solution 1, (hidden)'!I29+'Solution 1, (hidden)'!H29+'Solution 1, (hidden)'!J29-'Solution 1, (hidden)'!M29," ")</f>
        <v xml:space="preserve"> </v>
      </c>
      <c r="O36" s="37" t="str">
        <f>IF(E36&lt;('2. Inputs and results'!$C$23+1),'Solution  2, (hidden)'!G29+'Solution  2, (hidden)'!I29+'Solution  2, (hidden)'!H29+'Solution  2, (hidden)'!J29-'Solution  2, (hidden)'!M29," ")</f>
        <v xml:space="preserve"> </v>
      </c>
      <c r="P36" s="37" t="str">
        <f>IF('4. Cash flow '!E36&lt;('2. Inputs and results'!$B$23+1),'Solution 1, (hidden) (2)'!G29+'Solution 1, (hidden) (2)'!I29+'Solution 1, (hidden) (2)'!H29+'Solution 1, (hidden) (2)'!J29-'Solution 1, (hidden) (2)'!M29," ")</f>
        <v xml:space="preserve"> </v>
      </c>
      <c r="Q36" s="37" t="str">
        <f>IF(E36&lt;('2. Inputs and results'!$C$23+1),'Solution  2, (hidden) (2)'!G29+'Solution  2, (hidden) (2)'!I29+'Solution  2, (hidden) (2)'!H29+'Solution  2, (hidden) (2)'!J29-'Solution  2, (hidden) (2)'!M29," ")</f>
        <v xml:space="preserve"> </v>
      </c>
    </row>
    <row r="37" spans="3:17">
      <c r="C37" t="str">
        <f>'Solution 1, (hidden)'!B30</f>
        <v xml:space="preserve"> </v>
      </c>
      <c r="D37" t="str">
        <f>'Solution  2, (hidden)'!B30</f>
        <v xml:space="preserve"> </v>
      </c>
      <c r="E37" t="str">
        <f>IF('2. Inputs and results'!$C$23&gt;='2. Inputs and results'!$B$23,'Solution  2, (hidden)'!B30,'Solution 1, (hidden)'!B30)</f>
        <v xml:space="preserve"> </v>
      </c>
      <c r="F37" s="31" t="e">
        <f>'Solution 1, (hidden)'!W30</f>
        <v>#N/A</v>
      </c>
      <c r="G37" s="31" t="e">
        <f>'Solution  2, (hidden)'!W30</f>
        <v>#N/A</v>
      </c>
      <c r="H37" s="31" t="e">
        <f>'Solution 1, (hidden)'!R30</f>
        <v>#N/A</v>
      </c>
      <c r="I37" s="31" t="e">
        <f>'Solution  2, (hidden)'!R30</f>
        <v>#N/A</v>
      </c>
      <c r="J37" s="31" t="e">
        <f>'Solution 1, (hidden) (2)'!R30</f>
        <v>#N/A</v>
      </c>
      <c r="K37" s="31" t="e">
        <f>'Solution  2, (hidden) (2)'!R30</f>
        <v>#N/A</v>
      </c>
      <c r="L37" s="35" t="str">
        <f>IF('4. Cash flow '!E37&lt;('2. Inputs and results'!$B$23+1),'Solution 1, (hidden)'!C30-'Solution 1, (hidden)'!M30," ")</f>
        <v xml:space="preserve"> </v>
      </c>
      <c r="M37" s="35" t="str">
        <f>IF(E37&lt;('2. Inputs and results'!$C$23+1),'Solution  2, (hidden)'!C30-'Solution  2, (hidden)'!M30," ")</f>
        <v xml:space="preserve"> </v>
      </c>
      <c r="N37" s="37" t="str">
        <f>IF('4. Cash flow '!E37&lt;('2. Inputs and results'!$B$23+1),'Solution 1, (hidden)'!G30+'Solution 1, (hidden)'!I30+'Solution 1, (hidden)'!H30+'Solution 1, (hidden)'!J30-'Solution 1, (hidden)'!M30," ")</f>
        <v xml:space="preserve"> </v>
      </c>
      <c r="O37" s="37" t="str">
        <f>IF(E37&lt;('2. Inputs and results'!$C$23+1),'Solution  2, (hidden)'!G30+'Solution  2, (hidden)'!I30+'Solution  2, (hidden)'!H30+'Solution  2, (hidden)'!J30-'Solution  2, (hidden)'!M30," ")</f>
        <v xml:space="preserve"> </v>
      </c>
      <c r="P37" s="37" t="str">
        <f>IF('4. Cash flow '!E37&lt;('2. Inputs and results'!$B$23+1),'Solution 1, (hidden) (2)'!G30+'Solution 1, (hidden) (2)'!I30+'Solution 1, (hidden) (2)'!H30+'Solution 1, (hidden) (2)'!J30-'Solution 1, (hidden) (2)'!M30," ")</f>
        <v xml:space="preserve"> </v>
      </c>
      <c r="Q37" s="37" t="str">
        <f>IF(E37&lt;('2. Inputs and results'!$C$23+1),'Solution  2, (hidden) (2)'!G30+'Solution  2, (hidden) (2)'!I30+'Solution  2, (hidden) (2)'!H30+'Solution  2, (hidden) (2)'!J30-'Solution  2, (hidden) (2)'!M30," ")</f>
        <v xml:space="preserve"> </v>
      </c>
    </row>
    <row r="38" spans="3:17">
      <c r="C38" t="str">
        <f>'Solution 1, (hidden)'!B31</f>
        <v xml:space="preserve"> </v>
      </c>
      <c r="D38" t="str">
        <f>'Solution  2, (hidden)'!B31</f>
        <v xml:space="preserve"> </v>
      </c>
      <c r="E38" t="str">
        <f>IF('2. Inputs and results'!$C$23&gt;='2. Inputs and results'!$B$23,'Solution  2, (hidden)'!B31,'Solution 1, (hidden)'!B31)</f>
        <v xml:space="preserve"> </v>
      </c>
      <c r="F38" s="31" t="e">
        <f>'Solution 1, (hidden)'!W31</f>
        <v>#N/A</v>
      </c>
      <c r="G38" s="31" t="e">
        <f>'Solution  2, (hidden)'!W31</f>
        <v>#N/A</v>
      </c>
      <c r="H38" s="31" t="e">
        <f>'Solution 1, (hidden)'!R31</f>
        <v>#N/A</v>
      </c>
      <c r="I38" s="31" t="e">
        <f>'Solution  2, (hidden)'!R31</f>
        <v>#N/A</v>
      </c>
      <c r="J38" s="31" t="e">
        <f>'Solution 1, (hidden) (2)'!R31</f>
        <v>#N/A</v>
      </c>
      <c r="K38" s="31" t="e">
        <f>'Solution  2, (hidden) (2)'!R31</f>
        <v>#N/A</v>
      </c>
      <c r="L38" s="35" t="str">
        <f>IF('4. Cash flow '!E38&lt;('2. Inputs and results'!$B$23+1),'Solution 1, (hidden)'!C31-'Solution 1, (hidden)'!M31," ")</f>
        <v xml:space="preserve"> </v>
      </c>
      <c r="M38" s="35" t="str">
        <f>IF(E38&lt;('2. Inputs and results'!$C$23+1),'Solution  2, (hidden)'!C31-'Solution  2, (hidden)'!M31," ")</f>
        <v xml:space="preserve"> </v>
      </c>
      <c r="N38" s="37" t="str">
        <f>IF('4. Cash flow '!E38&lt;('2. Inputs and results'!$B$23+1),'Solution 1, (hidden)'!G31+'Solution 1, (hidden)'!I31+'Solution 1, (hidden)'!H31+'Solution 1, (hidden)'!J31-'Solution 1, (hidden)'!M31," ")</f>
        <v xml:space="preserve"> </v>
      </c>
      <c r="O38" s="37" t="str">
        <f>IF(E38&lt;('2. Inputs and results'!$C$23+1),'Solution  2, (hidden)'!G31+'Solution  2, (hidden)'!I31+'Solution  2, (hidden)'!H31+'Solution  2, (hidden)'!J31-'Solution  2, (hidden)'!M31," ")</f>
        <v xml:space="preserve"> </v>
      </c>
      <c r="P38" s="37" t="str">
        <f>IF('4. Cash flow '!E38&lt;('2. Inputs and results'!$B$23+1),'Solution 1, (hidden) (2)'!G31+'Solution 1, (hidden) (2)'!I31+'Solution 1, (hidden) (2)'!H31+'Solution 1, (hidden) (2)'!J31-'Solution 1, (hidden) (2)'!M31," ")</f>
        <v xml:space="preserve"> </v>
      </c>
      <c r="Q38" s="37" t="str">
        <f>IF(E38&lt;('2. Inputs and results'!$C$23+1),'Solution  2, (hidden) (2)'!G31+'Solution  2, (hidden) (2)'!I31+'Solution  2, (hidden) (2)'!H31+'Solution  2, (hidden) (2)'!J31-'Solution  2, (hidden) (2)'!M31," ")</f>
        <v xml:space="preserve"> </v>
      </c>
    </row>
    <row r="39" spans="3:17">
      <c r="C39" t="str">
        <f>'Solution 1, (hidden)'!B32</f>
        <v xml:space="preserve"> </v>
      </c>
      <c r="D39" t="str">
        <f>'Solution  2, (hidden)'!B32</f>
        <v xml:space="preserve"> </v>
      </c>
      <c r="E39" t="str">
        <f>IF('2. Inputs and results'!$C$23&gt;='2. Inputs and results'!$B$23,'Solution  2, (hidden)'!B32,'Solution 1, (hidden)'!B32)</f>
        <v xml:space="preserve"> </v>
      </c>
      <c r="F39" s="31" t="e">
        <f>'Solution 1, (hidden)'!W32</f>
        <v>#N/A</v>
      </c>
      <c r="G39" s="31" t="e">
        <f>'Solution  2, (hidden)'!W32</f>
        <v>#N/A</v>
      </c>
      <c r="H39" s="31" t="e">
        <f>'Solution 1, (hidden)'!R32</f>
        <v>#N/A</v>
      </c>
      <c r="I39" s="31" t="e">
        <f>'Solution  2, (hidden)'!R32</f>
        <v>#N/A</v>
      </c>
      <c r="J39" s="31" t="e">
        <f>'Solution 1, (hidden) (2)'!R32</f>
        <v>#N/A</v>
      </c>
      <c r="K39" s="31" t="e">
        <f>'Solution  2, (hidden) (2)'!R32</f>
        <v>#N/A</v>
      </c>
      <c r="L39" s="35" t="str">
        <f>IF('4. Cash flow '!E39&lt;('2. Inputs and results'!$B$23+1),'Solution 1, (hidden)'!C32-'Solution 1, (hidden)'!M32," ")</f>
        <v xml:space="preserve"> </v>
      </c>
      <c r="M39" s="35" t="str">
        <f>IF(E39&lt;('2. Inputs and results'!$C$23+1),'Solution  2, (hidden)'!C32-'Solution  2, (hidden)'!M32," ")</f>
        <v xml:space="preserve"> </v>
      </c>
      <c r="N39" s="37" t="str">
        <f>IF('4. Cash flow '!E39&lt;('2. Inputs and results'!$B$23+1),'Solution 1, (hidden)'!G32+'Solution 1, (hidden)'!I32+'Solution 1, (hidden)'!H32+'Solution 1, (hidden)'!J32-'Solution 1, (hidden)'!M32," ")</f>
        <v xml:space="preserve"> </v>
      </c>
      <c r="O39" s="37" t="str">
        <f>IF(E39&lt;('2. Inputs and results'!$C$23+1),'Solution  2, (hidden)'!G32+'Solution  2, (hidden)'!I32+'Solution  2, (hidden)'!H32+'Solution  2, (hidden)'!J32-'Solution  2, (hidden)'!M32," ")</f>
        <v xml:space="preserve"> </v>
      </c>
      <c r="P39" s="37" t="str">
        <f>IF('4. Cash flow '!E39&lt;('2. Inputs and results'!$B$23+1),'Solution 1, (hidden) (2)'!G32+'Solution 1, (hidden) (2)'!I32+'Solution 1, (hidden) (2)'!H32+'Solution 1, (hidden) (2)'!J32-'Solution 1, (hidden) (2)'!M32," ")</f>
        <v xml:space="preserve"> </v>
      </c>
      <c r="Q39" s="37" t="str">
        <f>IF(E39&lt;('2. Inputs and results'!$C$23+1),'Solution  2, (hidden) (2)'!G32+'Solution  2, (hidden) (2)'!I32+'Solution  2, (hidden) (2)'!H32+'Solution  2, (hidden) (2)'!J32-'Solution  2, (hidden) (2)'!M32," ")</f>
        <v xml:space="preserve"> </v>
      </c>
    </row>
    <row r="40" spans="3:17">
      <c r="C40" t="str">
        <f>'Solution 1, (hidden)'!B33</f>
        <v xml:space="preserve"> </v>
      </c>
      <c r="D40" t="str">
        <f>'Solution  2, (hidden)'!B33</f>
        <v xml:space="preserve"> </v>
      </c>
      <c r="E40" t="str">
        <f>IF('2. Inputs and results'!$C$23&gt;='2. Inputs and results'!$B$23,'Solution  2, (hidden)'!B33,'Solution 1, (hidden)'!B33)</f>
        <v xml:space="preserve"> </v>
      </c>
      <c r="F40" s="31" t="e">
        <f>'Solution 1, (hidden)'!W33</f>
        <v>#N/A</v>
      </c>
      <c r="G40" s="31" t="e">
        <f>'Solution  2, (hidden)'!W33</f>
        <v>#N/A</v>
      </c>
      <c r="H40" s="31" t="e">
        <f>'Solution 1, (hidden)'!R33</f>
        <v>#N/A</v>
      </c>
      <c r="I40" s="31" t="e">
        <f>'Solution  2, (hidden)'!R33</f>
        <v>#N/A</v>
      </c>
      <c r="J40" s="31" t="e">
        <f>'Solution 1, (hidden) (2)'!R33</f>
        <v>#N/A</v>
      </c>
      <c r="K40" s="31" t="e">
        <f>'Solution  2, (hidden) (2)'!R33</f>
        <v>#N/A</v>
      </c>
      <c r="L40" s="35" t="str">
        <f>IF('4. Cash flow '!E40&lt;('2. Inputs and results'!$B$23+1),'Solution 1, (hidden)'!C33-'Solution 1, (hidden)'!M33," ")</f>
        <v xml:space="preserve"> </v>
      </c>
      <c r="M40" s="35" t="str">
        <f>IF(E40&lt;('2. Inputs and results'!$C$23+1),'Solution  2, (hidden)'!C33-'Solution  2, (hidden)'!M33," ")</f>
        <v xml:space="preserve"> </v>
      </c>
      <c r="N40" s="37" t="str">
        <f>IF('4. Cash flow '!E40&lt;('2. Inputs and results'!$B$23+1),'Solution 1, (hidden)'!G33+'Solution 1, (hidden)'!I33+'Solution 1, (hidden)'!H33+'Solution 1, (hidden)'!J33-'Solution 1, (hidden)'!M33," ")</f>
        <v xml:space="preserve"> </v>
      </c>
      <c r="O40" s="37" t="str">
        <f>IF(E40&lt;('2. Inputs and results'!$C$23+1),'Solution  2, (hidden)'!G33+'Solution  2, (hidden)'!I33+'Solution  2, (hidden)'!H33+'Solution  2, (hidden)'!J33-'Solution  2, (hidden)'!M33," ")</f>
        <v xml:space="preserve"> </v>
      </c>
      <c r="P40" s="37" t="str">
        <f>IF('4. Cash flow '!E40&lt;('2. Inputs and results'!$B$23+1),'Solution 1, (hidden) (2)'!G33+'Solution 1, (hidden) (2)'!I33+'Solution 1, (hidden) (2)'!H33+'Solution 1, (hidden) (2)'!J33-'Solution 1, (hidden) (2)'!M33," ")</f>
        <v xml:space="preserve"> </v>
      </c>
      <c r="Q40" s="37" t="str">
        <f>IF(E40&lt;('2. Inputs and results'!$C$23+1),'Solution  2, (hidden) (2)'!G33+'Solution  2, (hidden) (2)'!I33+'Solution  2, (hidden) (2)'!H33+'Solution  2, (hidden) (2)'!J33-'Solution  2, (hidden) (2)'!M33," ")</f>
        <v xml:space="preserve"> </v>
      </c>
    </row>
    <row r="41" spans="3:17">
      <c r="C41" t="str">
        <f>'Solution 1, (hidden)'!B34</f>
        <v xml:space="preserve"> </v>
      </c>
      <c r="D41" t="str">
        <f>'Solution  2, (hidden)'!B34</f>
        <v xml:space="preserve"> </v>
      </c>
      <c r="E41" t="str">
        <f>IF('2. Inputs and results'!$C$23&gt;='2. Inputs and results'!$B$23,'Solution  2, (hidden)'!B34,'Solution 1, (hidden)'!B34)</f>
        <v xml:space="preserve"> </v>
      </c>
      <c r="F41" s="31" t="e">
        <f>'Solution 1, (hidden)'!W34</f>
        <v>#N/A</v>
      </c>
      <c r="G41" s="31" t="e">
        <f>'Solution  2, (hidden)'!W34</f>
        <v>#N/A</v>
      </c>
      <c r="H41" s="31" t="e">
        <f>'Solution 1, (hidden)'!R34</f>
        <v>#N/A</v>
      </c>
      <c r="I41" s="31" t="e">
        <f>'Solution  2, (hidden)'!R34</f>
        <v>#N/A</v>
      </c>
      <c r="J41" s="31" t="e">
        <f>'Solution 1, (hidden) (2)'!R34</f>
        <v>#N/A</v>
      </c>
      <c r="K41" s="31" t="e">
        <f>'Solution  2, (hidden) (2)'!R34</f>
        <v>#N/A</v>
      </c>
      <c r="L41" s="35" t="str">
        <f>IF('4. Cash flow '!E41&lt;('2. Inputs and results'!$B$23+1),'Solution 1, (hidden)'!C34-'Solution 1, (hidden)'!M34," ")</f>
        <v xml:space="preserve"> </v>
      </c>
      <c r="M41" s="35" t="str">
        <f>IF(E41&lt;('2. Inputs and results'!$C$23+1),'Solution  2, (hidden)'!C34-'Solution  2, (hidden)'!M34," ")</f>
        <v xml:space="preserve"> </v>
      </c>
      <c r="N41" s="37" t="str">
        <f>IF('4. Cash flow '!E41&lt;('2. Inputs and results'!$B$23+1),'Solution 1, (hidden)'!G34+'Solution 1, (hidden)'!I34+'Solution 1, (hidden)'!H34+'Solution 1, (hidden)'!J34-'Solution 1, (hidden)'!M34," ")</f>
        <v xml:space="preserve"> </v>
      </c>
      <c r="O41" s="37" t="str">
        <f>IF(E41&lt;('2. Inputs and results'!$C$23+1),'Solution  2, (hidden)'!G34+'Solution  2, (hidden)'!I34+'Solution  2, (hidden)'!H34+'Solution  2, (hidden)'!J34-'Solution  2, (hidden)'!M34," ")</f>
        <v xml:space="preserve"> </v>
      </c>
      <c r="P41" s="37" t="str">
        <f>IF('4. Cash flow '!E41&lt;('2. Inputs and results'!$B$23+1),'Solution 1, (hidden) (2)'!G34+'Solution 1, (hidden) (2)'!I34+'Solution 1, (hidden) (2)'!H34+'Solution 1, (hidden) (2)'!J34-'Solution 1, (hidden) (2)'!M34," ")</f>
        <v xml:space="preserve"> </v>
      </c>
      <c r="Q41" s="37" t="str">
        <f>IF(E41&lt;('2. Inputs and results'!$C$23+1),'Solution  2, (hidden) (2)'!G34+'Solution  2, (hidden) (2)'!I34+'Solution  2, (hidden) (2)'!H34+'Solution  2, (hidden) (2)'!J34-'Solution  2, (hidden) (2)'!M34," ")</f>
        <v xml:space="preserve"> </v>
      </c>
    </row>
    <row r="42" spans="3:17">
      <c r="C42" t="str">
        <f>'Solution 1, (hidden)'!B35</f>
        <v xml:space="preserve"> </v>
      </c>
      <c r="D42" t="str">
        <f>'Solution  2, (hidden)'!B35</f>
        <v xml:space="preserve"> </v>
      </c>
      <c r="E42" t="str">
        <f>IF('2. Inputs and results'!$C$23&gt;='2. Inputs and results'!$B$23,'Solution  2, (hidden)'!B35,'Solution 1, (hidden)'!B35)</f>
        <v xml:space="preserve"> </v>
      </c>
      <c r="F42" s="31" t="e">
        <f>'Solution 1, (hidden)'!W35</f>
        <v>#N/A</v>
      </c>
      <c r="G42" s="31" t="e">
        <f>'Solution  2, (hidden)'!W35</f>
        <v>#N/A</v>
      </c>
      <c r="H42" s="31" t="e">
        <f>'Solution 1, (hidden)'!R35</f>
        <v>#N/A</v>
      </c>
      <c r="I42" s="31" t="e">
        <f>'Solution  2, (hidden)'!R35</f>
        <v>#N/A</v>
      </c>
      <c r="J42" s="31" t="e">
        <f>'Solution 1, (hidden) (2)'!R35</f>
        <v>#N/A</v>
      </c>
      <c r="K42" s="31" t="e">
        <f>'Solution  2, (hidden) (2)'!R35</f>
        <v>#N/A</v>
      </c>
      <c r="L42" s="35" t="str">
        <f>IF('4. Cash flow '!E42&lt;('2. Inputs and results'!$B$23+1),'Solution 1, (hidden)'!C35-'Solution 1, (hidden)'!M35," ")</f>
        <v xml:space="preserve"> </v>
      </c>
      <c r="M42" s="35" t="str">
        <f>IF(E42&lt;('2. Inputs and results'!$C$23+1),'Solution  2, (hidden)'!C35-'Solution  2, (hidden)'!M35," ")</f>
        <v xml:space="preserve"> </v>
      </c>
      <c r="N42" s="37" t="str">
        <f>IF('4. Cash flow '!E42&lt;('2. Inputs and results'!$B$23+1),'Solution 1, (hidden)'!G35+'Solution 1, (hidden)'!I35+'Solution 1, (hidden)'!H35+'Solution 1, (hidden)'!J35-'Solution 1, (hidden)'!M35," ")</f>
        <v xml:space="preserve"> </v>
      </c>
      <c r="O42" s="37" t="str">
        <f>IF(E42&lt;('2. Inputs and results'!$C$23+1),'Solution  2, (hidden)'!G35+'Solution  2, (hidden)'!I35+'Solution  2, (hidden)'!H35+'Solution  2, (hidden)'!J35-'Solution  2, (hidden)'!M35," ")</f>
        <v xml:space="preserve"> </v>
      </c>
      <c r="P42" s="37" t="str">
        <f>IF('4. Cash flow '!E42&lt;('2. Inputs and results'!$B$23+1),'Solution 1, (hidden) (2)'!G35+'Solution 1, (hidden) (2)'!I35+'Solution 1, (hidden) (2)'!H35+'Solution 1, (hidden) (2)'!J35-'Solution 1, (hidden) (2)'!M35," ")</f>
        <v xml:space="preserve"> </v>
      </c>
      <c r="Q42" s="37" t="str">
        <f>IF(E42&lt;('2. Inputs and results'!$C$23+1),'Solution  2, (hidden) (2)'!G35+'Solution  2, (hidden) (2)'!I35+'Solution  2, (hidden) (2)'!H35+'Solution  2, (hidden) (2)'!J35-'Solution  2, (hidden) (2)'!M35," ")</f>
        <v xml:space="preserve"> </v>
      </c>
    </row>
    <row r="43" spans="3:17">
      <c r="C43" t="str">
        <f>'Solution 1, (hidden)'!B36</f>
        <v xml:space="preserve"> </v>
      </c>
      <c r="D43" t="str">
        <f>'Solution  2, (hidden)'!B36</f>
        <v xml:space="preserve"> </v>
      </c>
      <c r="E43" t="str">
        <f>IF('2. Inputs and results'!$C$23&gt;='2. Inputs and results'!$B$23,'Solution  2, (hidden)'!B36,'Solution 1, (hidden)'!B36)</f>
        <v xml:space="preserve"> </v>
      </c>
      <c r="F43" s="34" t="e">
        <f>'Solution 1, (hidden)'!W36</f>
        <v>#N/A</v>
      </c>
      <c r="G43" s="34" t="e">
        <f>'Solution  2, (hidden)'!W36</f>
        <v>#N/A</v>
      </c>
      <c r="H43" s="34" t="e">
        <f>'Solution 1, (hidden)'!R36</f>
        <v>#N/A</v>
      </c>
      <c r="I43" s="34" t="e">
        <f>'Solution  2, (hidden)'!R36</f>
        <v>#N/A</v>
      </c>
      <c r="J43" s="31" t="e">
        <f>'Solution 1, (hidden) (2)'!R36</f>
        <v>#N/A</v>
      </c>
      <c r="K43" s="31" t="e">
        <f>'Solution  2, (hidden) (2)'!R36</f>
        <v>#N/A</v>
      </c>
      <c r="L43" s="35" t="str">
        <f>IF('4. Cash flow '!E43&lt;('2. Inputs and results'!$B$23+1),'Solution 1, (hidden)'!C36-'Solution 1, (hidden)'!M36," ")</f>
        <v xml:space="preserve"> </v>
      </c>
      <c r="M43" s="35" t="str">
        <f>IF(E43&lt;('2. Inputs and results'!$C$23+1),'Solution  2, (hidden)'!C36-'Solution  2, (hidden)'!M36," ")</f>
        <v xml:space="preserve"> </v>
      </c>
      <c r="N43" s="37" t="str">
        <f>IF('4. Cash flow '!E43&lt;('2. Inputs and results'!$B$23+1),'Solution 1, (hidden)'!G36+'Solution 1, (hidden)'!I36+'Solution 1, (hidden)'!H36+'Solution 1, (hidden)'!J36-'Solution 1, (hidden)'!M36," ")</f>
        <v xml:space="preserve"> </v>
      </c>
      <c r="O43" s="37" t="str">
        <f>IF(E43&lt;('2. Inputs and results'!$C$23+1),'Solution  2, (hidden)'!G36+'Solution  2, (hidden)'!I36+'Solution  2, (hidden)'!H36+'Solution  2, (hidden)'!J36-'Solution  2, (hidden)'!M36," ")</f>
        <v xml:space="preserve"> </v>
      </c>
      <c r="P43" s="37" t="str">
        <f>IF('4. Cash flow '!E43&lt;('2. Inputs and results'!$B$23+1),'Solution 1, (hidden) (2)'!G36+'Solution 1, (hidden) (2)'!I36+'Solution 1, (hidden) (2)'!H36+'Solution 1, (hidden) (2)'!J36-'Solution 1, (hidden) (2)'!M36," ")</f>
        <v xml:space="preserve"> </v>
      </c>
      <c r="Q43" s="37" t="str">
        <f>IF(E43&lt;('2. Inputs and results'!$C$23+1),'Solution  2, (hidden) (2)'!G36+'Solution  2, (hidden) (2)'!I36+'Solution  2, (hidden) (2)'!H36+'Solution  2, (hidden) (2)'!J36-'Solution  2, (hidden) (2)'!M36," ")</f>
        <v xml:space="preserve"> </v>
      </c>
    </row>
    <row r="44" spans="3:17">
      <c r="C44" t="str">
        <f>'Solution 1, (hidden)'!B37</f>
        <v xml:space="preserve"> </v>
      </c>
      <c r="D44" t="str">
        <f>'Solution  2, (hidden)'!B37</f>
        <v xml:space="preserve"> </v>
      </c>
      <c r="E44" t="str">
        <f>IF('2. Inputs and results'!$C$23&gt;='2. Inputs and results'!$B$23,'Solution  2, (hidden)'!B37,'Solution 1, (hidden)'!B37)</f>
        <v xml:space="preserve"> </v>
      </c>
      <c r="F44" s="34" t="e">
        <f>'Solution 1, (hidden)'!W37</f>
        <v>#N/A</v>
      </c>
      <c r="G44" s="34" t="e">
        <f>'Solution  2, (hidden)'!W37</f>
        <v>#N/A</v>
      </c>
      <c r="H44" s="34" t="e">
        <f>'Solution 1, (hidden)'!R37</f>
        <v>#N/A</v>
      </c>
      <c r="I44" s="34" t="e">
        <f>'Solution  2, (hidden)'!R37</f>
        <v>#N/A</v>
      </c>
      <c r="J44" s="31" t="e">
        <f>'Solution 1, (hidden) (2)'!R37</f>
        <v>#N/A</v>
      </c>
      <c r="K44" s="31" t="e">
        <f>'Solution  2, (hidden) (2)'!R37</f>
        <v>#N/A</v>
      </c>
      <c r="L44" s="35" t="str">
        <f>IF('4. Cash flow '!E44&lt;('2. Inputs and results'!$B$23+1),'Solution 1, (hidden)'!C37-'Solution 1, (hidden)'!M37," ")</f>
        <v xml:space="preserve"> </v>
      </c>
      <c r="M44" s="35" t="str">
        <f>IF(E44&lt;('2. Inputs and results'!$C$23+1),'Solution  2, (hidden)'!C37-'Solution  2, (hidden)'!M37," ")</f>
        <v xml:space="preserve"> </v>
      </c>
      <c r="N44" s="37" t="str">
        <f>IF('4. Cash flow '!E44&lt;('2. Inputs and results'!$B$23+1),'Solution 1, (hidden)'!G37+'Solution 1, (hidden)'!I37+'Solution 1, (hidden)'!H37+'Solution 1, (hidden)'!J37-'Solution 1, (hidden)'!M37," ")</f>
        <v xml:space="preserve"> </v>
      </c>
      <c r="O44" s="37" t="str">
        <f>IF(E44&lt;('2. Inputs and results'!$C$23+1),'Solution  2, (hidden)'!G37+'Solution  2, (hidden)'!I37+'Solution  2, (hidden)'!H37+'Solution  2, (hidden)'!J37-'Solution  2, (hidden)'!M37," ")</f>
        <v xml:space="preserve"> </v>
      </c>
      <c r="P44" s="37" t="str">
        <f>IF('4. Cash flow '!E44&lt;('2. Inputs and results'!$B$23+1),'Solution 1, (hidden) (2)'!G37+'Solution 1, (hidden) (2)'!I37+'Solution 1, (hidden) (2)'!H37+'Solution 1, (hidden) (2)'!J37-'Solution 1, (hidden) (2)'!M37," ")</f>
        <v xml:space="preserve"> </v>
      </c>
      <c r="Q44" s="37" t="str">
        <f>IF(E44&lt;('2. Inputs and results'!$C$23+1),'Solution  2, (hidden) (2)'!G37+'Solution  2, (hidden) (2)'!I37+'Solution  2, (hidden) (2)'!H37+'Solution  2, (hidden) (2)'!J37-'Solution  2, (hidden) (2)'!M37," ")</f>
        <v xml:space="preserve"> </v>
      </c>
    </row>
    <row r="45" spans="3:17">
      <c r="C45" t="str">
        <f>'Solution 1, (hidden)'!B38</f>
        <v xml:space="preserve"> </v>
      </c>
      <c r="D45" t="str">
        <f>'Solution  2, (hidden)'!B38</f>
        <v xml:space="preserve"> </v>
      </c>
      <c r="E45" t="str">
        <f>IF('2. Inputs and results'!$C$23&gt;='2. Inputs and results'!$B$23,'Solution  2, (hidden)'!B38,'Solution 1, (hidden)'!B38)</f>
        <v xml:space="preserve"> </v>
      </c>
      <c r="F45" s="34" t="e">
        <f>'Solution 1, (hidden)'!W38</f>
        <v>#N/A</v>
      </c>
      <c r="G45" s="34" t="e">
        <f>'Solution  2, (hidden)'!W38</f>
        <v>#N/A</v>
      </c>
      <c r="H45" s="34" t="e">
        <f>'Solution 1, (hidden)'!R38</f>
        <v>#N/A</v>
      </c>
      <c r="I45" s="34" t="e">
        <f>'Solution  2, (hidden)'!R38</f>
        <v>#N/A</v>
      </c>
      <c r="J45" s="31" t="e">
        <f>'Solution 1, (hidden) (2)'!R38</f>
        <v>#N/A</v>
      </c>
      <c r="K45" s="31" t="e">
        <f>'Solution  2, (hidden) (2)'!R38</f>
        <v>#N/A</v>
      </c>
      <c r="L45" s="35" t="str">
        <f>IF('4. Cash flow '!E45&lt;('2. Inputs and results'!$B$23+1),'Solution 1, (hidden)'!C38-'Solution 1, (hidden)'!M38," ")</f>
        <v xml:space="preserve"> </v>
      </c>
      <c r="M45" s="35" t="str">
        <f>IF(E45&lt;('2. Inputs and results'!$C$23+1),'Solution  2, (hidden)'!C38-'Solution  2, (hidden)'!M38," ")</f>
        <v xml:space="preserve"> </v>
      </c>
      <c r="N45" s="37" t="str">
        <f>IF('4. Cash flow '!E45&lt;('2. Inputs and results'!$B$23+1),'Solution 1, (hidden)'!G38+'Solution 1, (hidden)'!I38+'Solution 1, (hidden)'!H38+'Solution 1, (hidden)'!J38-'Solution 1, (hidden)'!M38," ")</f>
        <v xml:space="preserve"> </v>
      </c>
      <c r="O45" s="37" t="str">
        <f>IF(E45&lt;('2. Inputs and results'!$C$23+1),'Solution  2, (hidden)'!G38+'Solution  2, (hidden)'!I38+'Solution  2, (hidden)'!H38+'Solution  2, (hidden)'!J38-'Solution  2, (hidden)'!M38," ")</f>
        <v xml:space="preserve"> </v>
      </c>
      <c r="P45" s="37" t="str">
        <f>IF('4. Cash flow '!E45&lt;('2. Inputs and results'!$B$23+1),'Solution 1, (hidden) (2)'!G38+'Solution 1, (hidden) (2)'!I38+'Solution 1, (hidden) (2)'!H38+'Solution 1, (hidden) (2)'!J38-'Solution 1, (hidden) (2)'!M38," ")</f>
        <v xml:space="preserve"> </v>
      </c>
      <c r="Q45" s="37" t="str">
        <f>IF(E45&lt;('2. Inputs and results'!$C$23+1),'Solution  2, (hidden) (2)'!G38+'Solution  2, (hidden) (2)'!I38+'Solution  2, (hidden) (2)'!H38+'Solution  2, (hidden) (2)'!J38-'Solution  2, (hidden) (2)'!M38," ")</f>
        <v xml:space="preserve"> </v>
      </c>
    </row>
    <row r="46" spans="3:17">
      <c r="C46" t="str">
        <f>'Solution 1, (hidden)'!B39</f>
        <v xml:space="preserve"> </v>
      </c>
      <c r="D46" t="str">
        <f>'Solution  2, (hidden)'!B39</f>
        <v xml:space="preserve"> </v>
      </c>
      <c r="E46" t="str">
        <f>IF('2. Inputs and results'!$C$23&gt;='2. Inputs and results'!$B$23,'Solution  2, (hidden)'!B39,'Solution 1, (hidden)'!B39)</f>
        <v xml:space="preserve"> </v>
      </c>
      <c r="F46" s="34" t="e">
        <f>'Solution 1, (hidden)'!W39</f>
        <v>#N/A</v>
      </c>
      <c r="G46" s="34" t="e">
        <f>'Solution  2, (hidden)'!W39</f>
        <v>#N/A</v>
      </c>
      <c r="H46" s="34" t="e">
        <f>'Solution 1, (hidden)'!R39</f>
        <v>#N/A</v>
      </c>
      <c r="I46" s="34" t="e">
        <f>'Solution  2, (hidden)'!R39</f>
        <v>#N/A</v>
      </c>
      <c r="J46" s="31" t="e">
        <f>'Solution 1, (hidden) (2)'!R39</f>
        <v>#N/A</v>
      </c>
      <c r="K46" s="31" t="e">
        <f>'Solution  2, (hidden) (2)'!R39</f>
        <v>#N/A</v>
      </c>
      <c r="L46" s="35" t="str">
        <f>IF('4. Cash flow '!E46&lt;('2. Inputs and results'!$B$23+1),'Solution 1, (hidden)'!C39-'Solution 1, (hidden)'!M39," ")</f>
        <v xml:space="preserve"> </v>
      </c>
      <c r="M46" s="35" t="str">
        <f>IF(E46&lt;('2. Inputs and results'!$C$23+1),'Solution  2, (hidden)'!C39-'Solution  2, (hidden)'!M39," ")</f>
        <v xml:space="preserve"> </v>
      </c>
      <c r="N46" s="37" t="str">
        <f>IF('4. Cash flow '!E46&lt;('2. Inputs and results'!$B$23+1),'Solution 1, (hidden)'!G39+'Solution 1, (hidden)'!I39+'Solution 1, (hidden)'!H39+'Solution 1, (hidden)'!J39-'Solution 1, (hidden)'!M39," ")</f>
        <v xml:space="preserve"> </v>
      </c>
      <c r="O46" s="37" t="str">
        <f>IF(E46&lt;('2. Inputs and results'!$C$23+1),'Solution  2, (hidden)'!G39+'Solution  2, (hidden)'!I39+'Solution  2, (hidden)'!H39+'Solution  2, (hidden)'!J39-'Solution  2, (hidden)'!M39," ")</f>
        <v xml:space="preserve"> </v>
      </c>
      <c r="P46" s="37" t="str">
        <f>IF('4. Cash flow '!E46&lt;('2. Inputs and results'!$B$23+1),'Solution 1, (hidden) (2)'!G39+'Solution 1, (hidden) (2)'!I39+'Solution 1, (hidden) (2)'!H39+'Solution 1, (hidden) (2)'!J39-'Solution 1, (hidden) (2)'!M39," ")</f>
        <v xml:space="preserve"> </v>
      </c>
      <c r="Q46" s="37" t="str">
        <f>IF(E46&lt;('2. Inputs and results'!$C$23+1),'Solution  2, (hidden) (2)'!G39+'Solution  2, (hidden) (2)'!I39+'Solution  2, (hidden) (2)'!H39+'Solution  2, (hidden) (2)'!J39-'Solution  2, (hidden) (2)'!M39," ")</f>
        <v xml:space="preserve"> </v>
      </c>
    </row>
    <row r="47" spans="3:17">
      <c r="C47" t="str">
        <f>'Solution 1, (hidden)'!B40</f>
        <v xml:space="preserve"> </v>
      </c>
      <c r="D47" t="str">
        <f>'Solution  2, (hidden)'!B40</f>
        <v xml:space="preserve"> </v>
      </c>
      <c r="E47" t="str">
        <f>IF('2. Inputs and results'!$C$23&gt;='2. Inputs and results'!$B$23,'Solution  2, (hidden)'!B40,'Solution 1, (hidden)'!B40)</f>
        <v xml:space="preserve"> </v>
      </c>
      <c r="F47" s="34" t="e">
        <f>'Solution 1, (hidden)'!W40</f>
        <v>#N/A</v>
      </c>
      <c r="G47" s="34" t="e">
        <f>'Solution  2, (hidden)'!W40</f>
        <v>#N/A</v>
      </c>
      <c r="H47" s="34" t="e">
        <f>'Solution 1, (hidden)'!R40</f>
        <v>#N/A</v>
      </c>
      <c r="I47" s="34" t="e">
        <f>'Solution  2, (hidden)'!R40</f>
        <v>#N/A</v>
      </c>
      <c r="J47" s="31" t="e">
        <f>'Solution 1, (hidden) (2)'!R40</f>
        <v>#N/A</v>
      </c>
      <c r="K47" s="31" t="e">
        <f>'Solution  2, (hidden) (2)'!R40</f>
        <v>#N/A</v>
      </c>
      <c r="L47" s="35" t="str">
        <f>IF('4. Cash flow '!E47&lt;('2. Inputs and results'!$B$23+1),'Solution 1, (hidden)'!C40-'Solution 1, (hidden)'!M40," ")</f>
        <v xml:space="preserve"> </v>
      </c>
      <c r="M47" s="35" t="str">
        <f>IF(E47&lt;('2. Inputs and results'!$C$23+1),'Solution  2, (hidden)'!C40-'Solution  2, (hidden)'!M40," ")</f>
        <v xml:space="preserve"> </v>
      </c>
      <c r="N47" s="37" t="str">
        <f>IF('4. Cash flow '!E47&lt;('2. Inputs and results'!$B$23+1),'Solution 1, (hidden)'!G40+'Solution 1, (hidden)'!I40+'Solution 1, (hidden)'!H40+'Solution 1, (hidden)'!J40-'Solution 1, (hidden)'!M40," ")</f>
        <v xml:space="preserve"> </v>
      </c>
      <c r="O47" s="37" t="str">
        <f>IF(E47&lt;('2. Inputs and results'!$C$23+1),'Solution  2, (hidden)'!G40+'Solution  2, (hidden)'!I40+'Solution  2, (hidden)'!H40+'Solution  2, (hidden)'!J40-'Solution  2, (hidden)'!M40," ")</f>
        <v xml:space="preserve"> </v>
      </c>
      <c r="P47" s="37" t="str">
        <f>IF('4. Cash flow '!E47&lt;('2. Inputs and results'!$B$23+1),'Solution 1, (hidden) (2)'!G40+'Solution 1, (hidden) (2)'!I40+'Solution 1, (hidden) (2)'!H40+'Solution 1, (hidden) (2)'!J40-'Solution 1, (hidden) (2)'!M40," ")</f>
        <v xml:space="preserve"> </v>
      </c>
      <c r="Q47" s="37" t="str">
        <f>IF(E47&lt;('2. Inputs and results'!$C$23+1),'Solution  2, (hidden) (2)'!G40+'Solution  2, (hidden) (2)'!I40+'Solution  2, (hidden) (2)'!H40+'Solution  2, (hidden) (2)'!J40-'Solution  2, (hidden) (2)'!M40," ")</f>
        <v xml:space="preserve"> </v>
      </c>
    </row>
    <row r="48" spans="3:17">
      <c r="C48" t="str">
        <f>'Solution 1, (hidden)'!B41</f>
        <v xml:space="preserve"> </v>
      </c>
      <c r="D48" t="str">
        <f>'Solution  2, (hidden)'!B41</f>
        <v xml:space="preserve"> </v>
      </c>
      <c r="E48" t="str">
        <f>IF('2. Inputs and results'!$C$23&gt;='2. Inputs and results'!$B$23,'Solution  2, (hidden)'!B41,'Solution 1, (hidden)'!B41)</f>
        <v xml:space="preserve"> </v>
      </c>
      <c r="F48" s="34" t="e">
        <f>'Solution 1, (hidden)'!W41</f>
        <v>#N/A</v>
      </c>
      <c r="G48" s="34" t="e">
        <f>'Solution  2, (hidden)'!W41</f>
        <v>#N/A</v>
      </c>
      <c r="H48" s="34" t="e">
        <f>'Solution 1, (hidden)'!R41</f>
        <v>#N/A</v>
      </c>
      <c r="I48" s="34" t="e">
        <f>'Solution  2, (hidden)'!R41</f>
        <v>#N/A</v>
      </c>
      <c r="J48" s="31" t="e">
        <f>'Solution 1, (hidden) (2)'!R41</f>
        <v>#N/A</v>
      </c>
      <c r="K48" s="31" t="e">
        <f>'Solution  2, (hidden) (2)'!R41</f>
        <v>#N/A</v>
      </c>
      <c r="L48" s="35" t="str">
        <f>IF('4. Cash flow '!E48&lt;('2. Inputs and results'!$B$23+1),'Solution 1, (hidden)'!C41-'Solution 1, (hidden)'!M41," ")</f>
        <v xml:space="preserve"> </v>
      </c>
      <c r="M48" s="35" t="str">
        <f>IF(E48&lt;('2. Inputs and results'!$C$23+1),'Solution  2, (hidden)'!C41-'Solution  2, (hidden)'!M41," ")</f>
        <v xml:space="preserve"> </v>
      </c>
      <c r="N48" s="37" t="str">
        <f>IF('4. Cash flow '!E48&lt;('2. Inputs and results'!$B$23+1),'Solution 1, (hidden)'!G41+'Solution 1, (hidden)'!I41+'Solution 1, (hidden)'!H41+'Solution 1, (hidden)'!J41-'Solution 1, (hidden)'!M41," ")</f>
        <v xml:space="preserve"> </v>
      </c>
      <c r="O48" s="37" t="str">
        <f>IF(E48&lt;('2. Inputs and results'!$C$23+1),'Solution  2, (hidden)'!G41+'Solution  2, (hidden)'!I41+'Solution  2, (hidden)'!H41+'Solution  2, (hidden)'!J41-'Solution  2, (hidden)'!M41," ")</f>
        <v xml:space="preserve"> </v>
      </c>
      <c r="P48" s="37" t="str">
        <f>IF('4. Cash flow '!E48&lt;('2. Inputs and results'!$B$23+1),'Solution 1, (hidden) (2)'!G41+'Solution 1, (hidden) (2)'!I41+'Solution 1, (hidden) (2)'!H41+'Solution 1, (hidden) (2)'!J41-'Solution 1, (hidden) (2)'!M41," ")</f>
        <v xml:space="preserve"> </v>
      </c>
      <c r="Q48" s="37" t="str">
        <f>IF(E48&lt;('2. Inputs and results'!$C$23+1),'Solution  2, (hidden) (2)'!G41+'Solution  2, (hidden) (2)'!I41+'Solution  2, (hidden) (2)'!H41+'Solution  2, (hidden) (2)'!J41-'Solution  2, (hidden) (2)'!M41," ")</f>
        <v xml:space="preserve"> </v>
      </c>
    </row>
    <row r="49" spans="3:17">
      <c r="C49" t="str">
        <f>'Solution 1, (hidden)'!B42</f>
        <v xml:space="preserve"> </v>
      </c>
      <c r="D49" t="str">
        <f>'Solution  2, (hidden)'!B42</f>
        <v xml:space="preserve"> </v>
      </c>
      <c r="E49" t="str">
        <f>IF('2. Inputs and results'!$C$23&gt;='2. Inputs and results'!$B$23,'Solution  2, (hidden)'!B42,'Solution 1, (hidden)'!B42)</f>
        <v xml:space="preserve"> </v>
      </c>
      <c r="F49" s="34" t="e">
        <f>'Solution 1, (hidden)'!W42</f>
        <v>#N/A</v>
      </c>
      <c r="G49" s="34" t="e">
        <f>'Solution  2, (hidden)'!W42</f>
        <v>#N/A</v>
      </c>
      <c r="H49" s="34" t="e">
        <f>'Solution 1, (hidden)'!R42</f>
        <v>#N/A</v>
      </c>
      <c r="I49" s="34" t="e">
        <f>'Solution  2, (hidden)'!R42</f>
        <v>#N/A</v>
      </c>
      <c r="J49" s="31" t="e">
        <f>'Solution 1, (hidden) (2)'!R42</f>
        <v>#N/A</v>
      </c>
      <c r="K49" s="31" t="e">
        <f>'Solution  2, (hidden) (2)'!R42</f>
        <v>#N/A</v>
      </c>
      <c r="L49" s="35" t="str">
        <f>IF('4. Cash flow '!E49&lt;('2. Inputs and results'!$B$23+1),'Solution 1, (hidden)'!C42-'Solution 1, (hidden)'!M42," ")</f>
        <v xml:space="preserve"> </v>
      </c>
      <c r="M49" s="35" t="str">
        <f>IF(E49&lt;('2. Inputs and results'!$C$23+1),'Solution  2, (hidden)'!C42-'Solution  2, (hidden)'!M42," ")</f>
        <v xml:space="preserve"> </v>
      </c>
      <c r="N49" s="37" t="str">
        <f>IF('4. Cash flow '!E49&lt;('2. Inputs and results'!$B$23+1),'Solution 1, (hidden)'!G42+'Solution 1, (hidden)'!I42+'Solution 1, (hidden)'!H42+'Solution 1, (hidden)'!J42-'Solution 1, (hidden)'!M42," ")</f>
        <v xml:space="preserve"> </v>
      </c>
      <c r="O49" s="37" t="str">
        <f>IF(E49&lt;('2. Inputs and results'!$C$23+1),'Solution  2, (hidden)'!G42+'Solution  2, (hidden)'!I42+'Solution  2, (hidden)'!H42+'Solution  2, (hidden)'!J42-'Solution  2, (hidden)'!M42," ")</f>
        <v xml:space="preserve"> </v>
      </c>
      <c r="P49" s="37" t="str">
        <f>IF('4. Cash flow '!E49&lt;('2. Inputs and results'!$B$23+1),'Solution 1, (hidden) (2)'!G42+'Solution 1, (hidden) (2)'!I42+'Solution 1, (hidden) (2)'!H42+'Solution 1, (hidden) (2)'!J42-'Solution 1, (hidden) (2)'!M42," ")</f>
        <v xml:space="preserve"> </v>
      </c>
      <c r="Q49" s="37" t="str">
        <f>IF(E49&lt;('2. Inputs and results'!$C$23+1),'Solution  2, (hidden) (2)'!G42+'Solution  2, (hidden) (2)'!I42+'Solution  2, (hidden) (2)'!H42+'Solution  2, (hidden) (2)'!J42-'Solution  2, (hidden) (2)'!M42," ")</f>
        <v xml:space="preserve"> </v>
      </c>
    </row>
    <row r="50" spans="3:17">
      <c r="C50" t="str">
        <f>'Solution 1, (hidden)'!B43</f>
        <v xml:space="preserve"> </v>
      </c>
      <c r="D50" t="str">
        <f>'Solution  2, (hidden)'!B43</f>
        <v xml:space="preserve"> </v>
      </c>
      <c r="E50" t="str">
        <f>IF('2. Inputs and results'!$C$23&gt;='2. Inputs and results'!$B$23,'Solution  2, (hidden)'!B43,'Solution 1, (hidden)'!B43)</f>
        <v xml:space="preserve"> </v>
      </c>
      <c r="F50" s="34" t="e">
        <f>'Solution 1, (hidden)'!W43</f>
        <v>#N/A</v>
      </c>
      <c r="G50" s="34" t="e">
        <f>'Solution  2, (hidden)'!W43</f>
        <v>#N/A</v>
      </c>
      <c r="H50" s="34" t="e">
        <f>'Solution 1, (hidden)'!R43</f>
        <v>#N/A</v>
      </c>
      <c r="I50" s="34" t="e">
        <f>'Solution  2, (hidden)'!R43</f>
        <v>#N/A</v>
      </c>
      <c r="J50" s="31" t="e">
        <f>'Solution 1, (hidden) (2)'!R43</f>
        <v>#N/A</v>
      </c>
      <c r="K50" s="31" t="e">
        <f>'Solution  2, (hidden) (2)'!R43</f>
        <v>#N/A</v>
      </c>
      <c r="L50" s="35" t="str">
        <f>IF('4. Cash flow '!E50&lt;('2. Inputs and results'!$B$23+1),'Solution 1, (hidden)'!C43-'Solution 1, (hidden)'!M43," ")</f>
        <v xml:space="preserve"> </v>
      </c>
      <c r="M50" s="35" t="str">
        <f>IF(E50&lt;('2. Inputs and results'!$C$23+1),'Solution  2, (hidden)'!C43-'Solution  2, (hidden)'!M43," ")</f>
        <v xml:space="preserve"> </v>
      </c>
      <c r="N50" s="37" t="str">
        <f>IF('4. Cash flow '!E50&lt;('2. Inputs and results'!$B$23+1),'Solution 1, (hidden)'!G43+'Solution 1, (hidden)'!I43+'Solution 1, (hidden)'!H43+'Solution 1, (hidden)'!J43-'Solution 1, (hidden)'!M43," ")</f>
        <v xml:space="preserve"> </v>
      </c>
      <c r="O50" s="37" t="str">
        <f>IF(E50&lt;('2. Inputs and results'!$C$23+1),'Solution  2, (hidden)'!G43+'Solution  2, (hidden)'!I43+'Solution  2, (hidden)'!H43+'Solution  2, (hidden)'!J43-'Solution  2, (hidden)'!M43," ")</f>
        <v xml:space="preserve"> </v>
      </c>
      <c r="P50" s="37" t="str">
        <f>IF('4. Cash flow '!E50&lt;('2. Inputs and results'!$B$23+1),'Solution 1, (hidden) (2)'!G43+'Solution 1, (hidden) (2)'!I43+'Solution 1, (hidden) (2)'!H43+'Solution 1, (hidden) (2)'!J43-'Solution 1, (hidden) (2)'!M43," ")</f>
        <v xml:space="preserve"> </v>
      </c>
      <c r="Q50" s="37" t="str">
        <f>IF(E50&lt;('2. Inputs and results'!$C$23+1),'Solution  2, (hidden) (2)'!G43+'Solution  2, (hidden) (2)'!I43+'Solution  2, (hidden) (2)'!H43+'Solution  2, (hidden) (2)'!J43-'Solution  2, (hidden) (2)'!M43," ")</f>
        <v xml:space="preserve"> </v>
      </c>
    </row>
    <row r="51" spans="3:17">
      <c r="C51" t="str">
        <f>'Solution 1, (hidden)'!B44</f>
        <v xml:space="preserve"> </v>
      </c>
      <c r="D51" t="str">
        <f>'Solution  2, (hidden)'!B44</f>
        <v xml:space="preserve"> </v>
      </c>
      <c r="E51" t="str">
        <f>IF('2. Inputs and results'!$C$23&gt;='2. Inputs and results'!$B$23,'Solution  2, (hidden)'!B44,'Solution 1, (hidden)'!B44)</f>
        <v xml:space="preserve"> </v>
      </c>
      <c r="F51" s="34" t="e">
        <f>'Solution 1, (hidden)'!W44</f>
        <v>#N/A</v>
      </c>
      <c r="G51" s="34" t="e">
        <f>'Solution  2, (hidden)'!W44</f>
        <v>#N/A</v>
      </c>
      <c r="H51" s="34" t="e">
        <f>'Solution 1, (hidden)'!R44</f>
        <v>#N/A</v>
      </c>
      <c r="I51" s="34" t="e">
        <f>'Solution  2, (hidden)'!R44</f>
        <v>#N/A</v>
      </c>
      <c r="J51" s="31" t="e">
        <f>'Solution 1, (hidden) (2)'!R44</f>
        <v>#N/A</v>
      </c>
      <c r="K51" s="31" t="e">
        <f>'Solution  2, (hidden) (2)'!R44</f>
        <v>#N/A</v>
      </c>
      <c r="L51" s="35" t="str">
        <f>IF('4. Cash flow '!E51&lt;('2. Inputs and results'!$B$23+1),'Solution 1, (hidden)'!C44-'Solution 1, (hidden)'!M44," ")</f>
        <v xml:space="preserve"> </v>
      </c>
      <c r="M51" s="35" t="str">
        <f>IF(E51&lt;('2. Inputs and results'!$C$23+1),'Solution  2, (hidden)'!C44-'Solution  2, (hidden)'!M44," ")</f>
        <v xml:space="preserve"> </v>
      </c>
      <c r="N51" s="37" t="str">
        <f>IF('4. Cash flow '!E51&lt;('2. Inputs and results'!$B$23+1),'Solution 1, (hidden)'!G44+'Solution 1, (hidden)'!I44+'Solution 1, (hidden)'!H44+'Solution 1, (hidden)'!J44-'Solution 1, (hidden)'!M44," ")</f>
        <v xml:space="preserve"> </v>
      </c>
      <c r="O51" s="37" t="str">
        <f>IF(E51&lt;('2. Inputs and results'!$C$23+1),'Solution  2, (hidden)'!G44+'Solution  2, (hidden)'!I44+'Solution  2, (hidden)'!H44+'Solution  2, (hidden)'!J44-'Solution  2, (hidden)'!M44," ")</f>
        <v xml:space="preserve"> </v>
      </c>
      <c r="P51" s="37" t="str">
        <f>IF('4. Cash flow '!E51&lt;('2. Inputs and results'!$B$23+1),'Solution 1, (hidden) (2)'!G44+'Solution 1, (hidden) (2)'!I44+'Solution 1, (hidden) (2)'!H44+'Solution 1, (hidden) (2)'!J44-'Solution 1, (hidden) (2)'!M44," ")</f>
        <v xml:space="preserve"> </v>
      </c>
      <c r="Q51" s="37" t="str">
        <f>IF(E51&lt;('2. Inputs and results'!$C$23+1),'Solution  2, (hidden) (2)'!G44+'Solution  2, (hidden) (2)'!I44+'Solution  2, (hidden) (2)'!H44+'Solution  2, (hidden) (2)'!J44-'Solution  2, (hidden) (2)'!M44," ")</f>
        <v xml:space="preserve"> </v>
      </c>
    </row>
    <row r="52" spans="3:17">
      <c r="C52" t="str">
        <f>'Solution 1, (hidden)'!B45</f>
        <v xml:space="preserve"> </v>
      </c>
      <c r="D52" t="str">
        <f>'Solution  2, (hidden)'!B45</f>
        <v xml:space="preserve"> </v>
      </c>
      <c r="E52" t="str">
        <f>IF('2. Inputs and results'!$C$23&gt;='2. Inputs and results'!$B$23,'Solution  2, (hidden)'!B45,'Solution 1, (hidden)'!B45)</f>
        <v xml:space="preserve"> </v>
      </c>
      <c r="F52" s="34" t="e">
        <f>'Solution 1, (hidden)'!W45</f>
        <v>#N/A</v>
      </c>
      <c r="G52" s="34" t="e">
        <f>'Solution  2, (hidden)'!W45</f>
        <v>#N/A</v>
      </c>
      <c r="H52" s="34" t="e">
        <f>'Solution 1, (hidden)'!R45</f>
        <v>#N/A</v>
      </c>
      <c r="I52" s="34" t="e">
        <f>'Solution  2, (hidden)'!R45</f>
        <v>#N/A</v>
      </c>
      <c r="J52" s="31" t="e">
        <f>'Solution 1, (hidden) (2)'!R45</f>
        <v>#N/A</v>
      </c>
      <c r="K52" s="31" t="e">
        <f>'Solution  2, (hidden) (2)'!R45</f>
        <v>#N/A</v>
      </c>
      <c r="L52" s="35" t="str">
        <f>IF('4. Cash flow '!E52&lt;('2. Inputs and results'!$B$23+1),'Solution 1, (hidden)'!C45-'Solution 1, (hidden)'!M45," ")</f>
        <v xml:space="preserve"> </v>
      </c>
      <c r="M52" s="35" t="str">
        <f>IF(E52&lt;('2. Inputs and results'!$C$23+1),'Solution  2, (hidden)'!C45-'Solution  2, (hidden)'!M45," ")</f>
        <v xml:space="preserve"> </v>
      </c>
      <c r="N52" s="37" t="str">
        <f>IF('4. Cash flow '!E52&lt;('2. Inputs and results'!$B$23+1),'Solution 1, (hidden)'!G45+'Solution 1, (hidden)'!I45+'Solution 1, (hidden)'!H45+'Solution 1, (hidden)'!J45-'Solution 1, (hidden)'!M45," ")</f>
        <v xml:space="preserve"> </v>
      </c>
      <c r="O52" s="37" t="str">
        <f>IF(E52&lt;('2. Inputs and results'!$C$23+1),'Solution  2, (hidden)'!G45+'Solution  2, (hidden)'!I45+'Solution  2, (hidden)'!H45+'Solution  2, (hidden)'!J45-'Solution  2, (hidden)'!M45," ")</f>
        <v xml:space="preserve"> </v>
      </c>
      <c r="P52" s="37" t="str">
        <f>IF('4. Cash flow '!E52&lt;('2. Inputs and results'!$B$23+1),'Solution 1, (hidden) (2)'!G45+'Solution 1, (hidden) (2)'!I45+'Solution 1, (hidden) (2)'!H45+'Solution 1, (hidden) (2)'!J45-'Solution 1, (hidden) (2)'!M45," ")</f>
        <v xml:space="preserve"> </v>
      </c>
      <c r="Q52" s="37" t="str">
        <f>IF(E52&lt;('2. Inputs and results'!$C$23+1),'Solution  2, (hidden) (2)'!G45+'Solution  2, (hidden) (2)'!I45+'Solution  2, (hidden) (2)'!H45+'Solution  2, (hidden) (2)'!J45-'Solution  2, (hidden) (2)'!M45," ")</f>
        <v xml:space="preserve"> </v>
      </c>
    </row>
    <row r="53" spans="3:17">
      <c r="C53" t="str">
        <f>'Solution 1, (hidden)'!B46</f>
        <v xml:space="preserve"> </v>
      </c>
      <c r="D53" t="str">
        <f>'Solution  2, (hidden)'!B46</f>
        <v xml:space="preserve"> </v>
      </c>
      <c r="E53" t="str">
        <f>IF('2. Inputs and results'!$C$23&gt;='2. Inputs and results'!$B$23,'Solution  2, (hidden)'!B46,'Solution 1, (hidden)'!B46)</f>
        <v xml:space="preserve"> </v>
      </c>
      <c r="F53" s="34" t="e">
        <f>'Solution 1, (hidden)'!W46</f>
        <v>#N/A</v>
      </c>
      <c r="G53" s="34" t="e">
        <f>'Solution  2, (hidden)'!W46</f>
        <v>#N/A</v>
      </c>
      <c r="H53" s="34" t="e">
        <f>'Solution 1, (hidden)'!R46</f>
        <v>#N/A</v>
      </c>
      <c r="I53" s="34" t="e">
        <f>'Solution  2, (hidden)'!R46</f>
        <v>#N/A</v>
      </c>
      <c r="J53" s="31" t="e">
        <f>'Solution 1, (hidden) (2)'!R46</f>
        <v>#N/A</v>
      </c>
      <c r="K53" s="31" t="e">
        <f>'Solution  2, (hidden) (2)'!R46</f>
        <v>#N/A</v>
      </c>
      <c r="L53" s="35" t="str">
        <f>IF('4. Cash flow '!E53&lt;('2. Inputs and results'!$B$23+1),'Solution 1, (hidden)'!C46-'Solution 1, (hidden)'!M46," ")</f>
        <v xml:space="preserve"> </v>
      </c>
      <c r="M53" s="35" t="str">
        <f>IF(E53&lt;('2. Inputs and results'!$C$23+1),'Solution  2, (hidden)'!C46-'Solution  2, (hidden)'!M46," ")</f>
        <v xml:space="preserve"> </v>
      </c>
      <c r="N53" s="37" t="str">
        <f>IF('4. Cash flow '!E53&lt;('2. Inputs and results'!$B$23+1),'Solution 1, (hidden)'!G46+'Solution 1, (hidden)'!I46+'Solution 1, (hidden)'!H46+'Solution 1, (hidden)'!J46-'Solution 1, (hidden)'!M46," ")</f>
        <v xml:space="preserve"> </v>
      </c>
      <c r="O53" s="37" t="str">
        <f>IF(E53&lt;('2. Inputs and results'!$C$23+1),'Solution  2, (hidden)'!G46+'Solution  2, (hidden)'!I46+'Solution  2, (hidden)'!H46+'Solution  2, (hidden)'!J46-'Solution  2, (hidden)'!M46," ")</f>
        <v xml:space="preserve"> </v>
      </c>
      <c r="P53" s="37" t="str">
        <f>IF('4. Cash flow '!E53&lt;('2. Inputs and results'!$B$23+1),'Solution 1, (hidden) (2)'!G46+'Solution 1, (hidden) (2)'!I46+'Solution 1, (hidden) (2)'!H46+'Solution 1, (hidden) (2)'!J46-'Solution 1, (hidden) (2)'!M46," ")</f>
        <v xml:space="preserve"> </v>
      </c>
      <c r="Q53" s="37" t="str">
        <f>IF(E53&lt;('2. Inputs and results'!$C$23+1),'Solution  2, (hidden) (2)'!G46+'Solution  2, (hidden) (2)'!I46+'Solution  2, (hidden) (2)'!H46+'Solution  2, (hidden) (2)'!J46-'Solution  2, (hidden) (2)'!M46," ")</f>
        <v xml:space="preserve"> </v>
      </c>
    </row>
    <row r="54" spans="3:17">
      <c r="C54" t="str">
        <f>'Solution 1, (hidden)'!B47</f>
        <v xml:space="preserve"> </v>
      </c>
      <c r="D54" t="str">
        <f>'Solution  2, (hidden)'!B47</f>
        <v xml:space="preserve"> </v>
      </c>
      <c r="E54" t="str">
        <f>IF('2. Inputs and results'!$C$23&gt;='2. Inputs and results'!$B$23,'Solution  2, (hidden)'!B47,'Solution 1, (hidden)'!B47)</f>
        <v xml:space="preserve"> </v>
      </c>
      <c r="F54" s="34" t="e">
        <f>'Solution 1, (hidden)'!W47</f>
        <v>#N/A</v>
      </c>
      <c r="G54" s="34" t="e">
        <f>'Solution  2, (hidden)'!W47</f>
        <v>#N/A</v>
      </c>
      <c r="H54" s="34" t="e">
        <f>'Solution 1, (hidden)'!R47</f>
        <v>#N/A</v>
      </c>
      <c r="I54" s="34" t="e">
        <f>'Solution  2, (hidden)'!R47</f>
        <v>#N/A</v>
      </c>
      <c r="J54" s="31" t="e">
        <f>'Solution 1, (hidden) (2)'!R47</f>
        <v>#N/A</v>
      </c>
      <c r="K54" s="31" t="e">
        <f>'Solution  2, (hidden) (2)'!R47</f>
        <v>#N/A</v>
      </c>
      <c r="L54" s="35" t="str">
        <f>IF('4. Cash flow '!E54&lt;('2. Inputs and results'!$B$23+1),'Solution 1, (hidden)'!C47-'Solution 1, (hidden)'!M47," ")</f>
        <v xml:space="preserve"> </v>
      </c>
      <c r="M54" s="35" t="str">
        <f>IF(E54&lt;('2. Inputs and results'!$C$23+1),'Solution  2, (hidden)'!C47-'Solution  2, (hidden)'!M47," ")</f>
        <v xml:space="preserve"> </v>
      </c>
      <c r="N54" s="37" t="str">
        <f>IF('4. Cash flow '!E54&lt;('2. Inputs and results'!$B$23+1),'Solution 1, (hidden)'!G47+'Solution 1, (hidden)'!I47+'Solution 1, (hidden)'!H47+'Solution 1, (hidden)'!J47-'Solution 1, (hidden)'!M47," ")</f>
        <v xml:space="preserve"> </v>
      </c>
      <c r="O54" s="37" t="str">
        <f>IF(E54&lt;('2. Inputs and results'!$C$23+1),'Solution  2, (hidden)'!G47+'Solution  2, (hidden)'!I47+'Solution  2, (hidden)'!H47+'Solution  2, (hidden)'!J47-'Solution  2, (hidden)'!M47," ")</f>
        <v xml:space="preserve"> </v>
      </c>
      <c r="P54" s="37" t="str">
        <f>IF('4. Cash flow '!E54&lt;('2. Inputs and results'!$B$23+1),'Solution 1, (hidden) (2)'!G47+'Solution 1, (hidden) (2)'!I47+'Solution 1, (hidden) (2)'!H47+'Solution 1, (hidden) (2)'!J47-'Solution 1, (hidden) (2)'!M47," ")</f>
        <v xml:space="preserve"> </v>
      </c>
      <c r="Q54" s="37" t="str">
        <f>IF(E54&lt;('2. Inputs and results'!$C$23+1),'Solution  2, (hidden) (2)'!G47+'Solution  2, (hidden) (2)'!I47+'Solution  2, (hidden) (2)'!H47+'Solution  2, (hidden) (2)'!J47-'Solution  2, (hidden) (2)'!M47," ")</f>
        <v xml:space="preserve"> </v>
      </c>
    </row>
    <row r="55" spans="3:17">
      <c r="C55" t="str">
        <f>'Solution 1, (hidden)'!B48</f>
        <v xml:space="preserve"> </v>
      </c>
      <c r="D55" t="str">
        <f>'Solution  2, (hidden)'!B48</f>
        <v xml:space="preserve"> </v>
      </c>
      <c r="E55" t="str">
        <f>IF('2. Inputs and results'!$C$23&gt;='2. Inputs and results'!$B$23,'Solution  2, (hidden)'!B48,'Solution 1, (hidden)'!B48)</f>
        <v xml:space="preserve"> </v>
      </c>
      <c r="F55" s="34" t="e">
        <f>'Solution 1, (hidden)'!W48</f>
        <v>#N/A</v>
      </c>
      <c r="G55" s="34" t="e">
        <f>'Solution  2, (hidden)'!W48</f>
        <v>#N/A</v>
      </c>
      <c r="H55" s="34" t="e">
        <f>'Solution 1, (hidden)'!R48</f>
        <v>#N/A</v>
      </c>
      <c r="I55" s="34" t="e">
        <f>'Solution  2, (hidden)'!R48</f>
        <v>#N/A</v>
      </c>
      <c r="J55" s="31" t="e">
        <f>'Solution 1, (hidden) (2)'!R48</f>
        <v>#N/A</v>
      </c>
      <c r="K55" s="31" t="e">
        <f>'Solution  2, (hidden) (2)'!R48</f>
        <v>#N/A</v>
      </c>
      <c r="L55" s="35" t="str">
        <f>IF('4. Cash flow '!E55&lt;('2. Inputs and results'!$B$23+1),'Solution 1, (hidden)'!C48-'Solution 1, (hidden)'!M48," ")</f>
        <v xml:space="preserve"> </v>
      </c>
      <c r="M55" s="35" t="str">
        <f>IF(E55&lt;('2. Inputs and results'!$C$23+1),'Solution  2, (hidden)'!C48-'Solution  2, (hidden)'!M48," ")</f>
        <v xml:space="preserve"> </v>
      </c>
      <c r="N55" s="37" t="str">
        <f>IF('4. Cash flow '!E55&lt;('2. Inputs and results'!$B$23+1),'Solution 1, (hidden)'!G48+'Solution 1, (hidden)'!I48+'Solution 1, (hidden)'!H48+'Solution 1, (hidden)'!J48-'Solution 1, (hidden)'!M48," ")</f>
        <v xml:space="preserve"> </v>
      </c>
      <c r="O55" s="37" t="str">
        <f>IF(E55&lt;('2. Inputs and results'!$C$23+1),'Solution  2, (hidden)'!G48+'Solution  2, (hidden)'!I48+'Solution  2, (hidden)'!H48+'Solution  2, (hidden)'!J48-'Solution  2, (hidden)'!M48," ")</f>
        <v xml:space="preserve"> </v>
      </c>
      <c r="P55" s="37" t="str">
        <f>IF('4. Cash flow '!E55&lt;('2. Inputs and results'!$B$23+1),'Solution 1, (hidden) (2)'!G48+'Solution 1, (hidden) (2)'!I48+'Solution 1, (hidden) (2)'!H48+'Solution 1, (hidden) (2)'!J48-'Solution 1, (hidden) (2)'!M48," ")</f>
        <v xml:space="preserve"> </v>
      </c>
      <c r="Q55" s="37" t="str">
        <f>IF(E55&lt;('2. Inputs and results'!$C$23+1),'Solution  2, (hidden) (2)'!G48+'Solution  2, (hidden) (2)'!I48+'Solution  2, (hidden) (2)'!H48+'Solution  2, (hidden) (2)'!J48-'Solution  2, (hidden) (2)'!M48," ")</f>
        <v xml:space="preserve"> </v>
      </c>
    </row>
    <row r="56" spans="3:17">
      <c r="C56" t="str">
        <f>'Solution 1, (hidden)'!B49</f>
        <v xml:space="preserve"> </v>
      </c>
      <c r="D56" t="str">
        <f>'Solution  2, (hidden)'!B49</f>
        <v xml:space="preserve"> </v>
      </c>
      <c r="E56" t="str">
        <f>IF('2. Inputs and results'!$C$23&gt;='2. Inputs and results'!$B$23,'Solution  2, (hidden)'!B49,'Solution 1, (hidden)'!B49)</f>
        <v xml:space="preserve"> </v>
      </c>
      <c r="F56" s="34" t="e">
        <f>'Solution 1, (hidden)'!W49</f>
        <v>#N/A</v>
      </c>
      <c r="G56" s="34" t="e">
        <f>'Solution  2, (hidden)'!W49</f>
        <v>#N/A</v>
      </c>
      <c r="H56" s="34" t="e">
        <f>'Solution 1, (hidden)'!R49</f>
        <v>#N/A</v>
      </c>
      <c r="I56" s="34" t="e">
        <f>'Solution  2, (hidden)'!R49</f>
        <v>#N/A</v>
      </c>
      <c r="J56" s="31" t="e">
        <f>'Solution 1, (hidden) (2)'!R49</f>
        <v>#N/A</v>
      </c>
      <c r="K56" s="31" t="e">
        <f>'Solution  2, (hidden) (2)'!R49</f>
        <v>#N/A</v>
      </c>
      <c r="L56" s="35" t="str">
        <f>IF('4. Cash flow '!E56&lt;('2. Inputs and results'!$B$23+1),'Solution 1, (hidden)'!C49-'Solution 1, (hidden)'!M49," ")</f>
        <v xml:space="preserve"> </v>
      </c>
      <c r="M56" s="35" t="str">
        <f>IF(E56&lt;('2. Inputs and results'!$C$23+1),'Solution  2, (hidden)'!C49-'Solution  2, (hidden)'!M49," ")</f>
        <v xml:space="preserve"> </v>
      </c>
      <c r="N56" s="37" t="str">
        <f>IF('4. Cash flow '!E56&lt;('2. Inputs and results'!$B$23+1),'Solution 1, (hidden)'!G49+'Solution 1, (hidden)'!I49+'Solution 1, (hidden)'!H49+'Solution 1, (hidden)'!J49-'Solution 1, (hidden)'!M49," ")</f>
        <v xml:space="preserve"> </v>
      </c>
      <c r="O56" s="37" t="str">
        <f>IF(E56&lt;('2. Inputs and results'!$C$23+1),'Solution  2, (hidden)'!G49+'Solution  2, (hidden)'!I49+'Solution  2, (hidden)'!H49+'Solution  2, (hidden)'!J49-'Solution  2, (hidden)'!M49," ")</f>
        <v xml:space="preserve"> </v>
      </c>
      <c r="P56" s="37" t="str">
        <f>IF('4. Cash flow '!E56&lt;('2. Inputs and results'!$B$23+1),'Solution 1, (hidden) (2)'!G49+'Solution 1, (hidden) (2)'!I49+'Solution 1, (hidden) (2)'!H49+'Solution 1, (hidden) (2)'!J49-'Solution 1, (hidden) (2)'!M49," ")</f>
        <v xml:space="preserve"> </v>
      </c>
      <c r="Q56" s="37" t="str">
        <f>IF(E56&lt;('2. Inputs and results'!$C$23+1),'Solution  2, (hidden) (2)'!G49+'Solution  2, (hidden) (2)'!I49+'Solution  2, (hidden) (2)'!H49+'Solution  2, (hidden) (2)'!J49-'Solution  2, (hidden) (2)'!M49," ")</f>
        <v xml:space="preserve"> </v>
      </c>
    </row>
    <row r="57" spans="3:17">
      <c r="C57" t="str">
        <f>'Solution 1, (hidden)'!B50</f>
        <v xml:space="preserve"> </v>
      </c>
      <c r="D57" t="str">
        <f>'Solution  2, (hidden)'!B50</f>
        <v xml:space="preserve"> </v>
      </c>
      <c r="E57" t="str">
        <f>IF('2. Inputs and results'!$C$23&gt;='2. Inputs and results'!$B$23,'Solution  2, (hidden)'!B50,'Solution 1, (hidden)'!B50)</f>
        <v xml:space="preserve"> </v>
      </c>
      <c r="F57" s="34" t="e">
        <f>'Solution 1, (hidden)'!W50</f>
        <v>#N/A</v>
      </c>
      <c r="G57" s="34" t="e">
        <f>'Solution  2, (hidden)'!W50</f>
        <v>#N/A</v>
      </c>
      <c r="H57" s="34" t="e">
        <f>'Solution 1, (hidden)'!R50</f>
        <v>#N/A</v>
      </c>
      <c r="I57" s="34" t="e">
        <f>'Solution  2, (hidden)'!R50</f>
        <v>#N/A</v>
      </c>
      <c r="J57" s="31" t="e">
        <f>'Solution 1, (hidden) (2)'!R50</f>
        <v>#N/A</v>
      </c>
      <c r="K57" s="31" t="e">
        <f>'Solution  2, (hidden) (2)'!R50</f>
        <v>#N/A</v>
      </c>
      <c r="L57" s="35" t="str">
        <f>IF('4. Cash flow '!E57&lt;('2. Inputs and results'!$B$23+1),'Solution 1, (hidden)'!C50-'Solution 1, (hidden)'!M50," ")</f>
        <v xml:space="preserve"> </v>
      </c>
      <c r="M57" s="35" t="str">
        <f>IF(E57&lt;('2. Inputs and results'!$C$23+1),'Solution  2, (hidden)'!C50-'Solution  2, (hidden)'!M50," ")</f>
        <v xml:space="preserve"> </v>
      </c>
      <c r="N57" s="37" t="str">
        <f>IF('4. Cash flow '!E57&lt;('2. Inputs and results'!$B$23+1),'Solution 1, (hidden)'!G50+'Solution 1, (hidden)'!I50+'Solution 1, (hidden)'!H50+'Solution 1, (hidden)'!J50-'Solution 1, (hidden)'!M50," ")</f>
        <v xml:space="preserve"> </v>
      </c>
      <c r="O57" s="37" t="str">
        <f>IF(E57&lt;('2. Inputs and results'!$C$23+1),'Solution  2, (hidden)'!G50+'Solution  2, (hidden)'!I50+'Solution  2, (hidden)'!H50+'Solution  2, (hidden)'!J50-'Solution  2, (hidden)'!M50," ")</f>
        <v xml:space="preserve"> </v>
      </c>
      <c r="P57" s="37" t="str">
        <f>IF('4. Cash flow '!E57&lt;('2. Inputs and results'!$B$23+1),'Solution 1, (hidden) (2)'!G50+'Solution 1, (hidden) (2)'!I50+'Solution 1, (hidden) (2)'!H50+'Solution 1, (hidden) (2)'!J50-'Solution 1, (hidden) (2)'!M50," ")</f>
        <v xml:space="preserve"> </v>
      </c>
      <c r="Q57" s="37" t="str">
        <f>IF(E57&lt;('2. Inputs and results'!$C$23+1),'Solution  2, (hidden) (2)'!G50+'Solution  2, (hidden) (2)'!I50+'Solution  2, (hidden) (2)'!H50+'Solution  2, (hidden) (2)'!J50-'Solution  2, (hidden) (2)'!M50," ")</f>
        <v xml:space="preserve"> </v>
      </c>
    </row>
    <row r="58" spans="3:17">
      <c r="C58" t="str">
        <f>'Solution 1, (hidden)'!B51</f>
        <v xml:space="preserve"> </v>
      </c>
      <c r="D58" t="str">
        <f>'Solution  2, (hidden)'!B51</f>
        <v xml:space="preserve"> </v>
      </c>
      <c r="E58" t="str">
        <f>IF('2. Inputs and results'!$C$23&gt;='2. Inputs and results'!$B$23,'Solution  2, (hidden)'!B51,'Solution 1, (hidden)'!B51)</f>
        <v xml:space="preserve"> </v>
      </c>
      <c r="F58" s="34" t="e">
        <f>'Solution 1, (hidden)'!W51</f>
        <v>#N/A</v>
      </c>
      <c r="G58" s="34" t="e">
        <f>'Solution  2, (hidden)'!W51</f>
        <v>#N/A</v>
      </c>
      <c r="H58" s="34" t="e">
        <f>'Solution 1, (hidden)'!R51</f>
        <v>#N/A</v>
      </c>
      <c r="I58" s="34" t="e">
        <f>'Solution  2, (hidden)'!R51</f>
        <v>#N/A</v>
      </c>
      <c r="J58" s="31" t="e">
        <f>'Solution 1, (hidden) (2)'!R51</f>
        <v>#N/A</v>
      </c>
      <c r="K58" s="31" t="e">
        <f>'Solution  2, (hidden) (2)'!R51</f>
        <v>#N/A</v>
      </c>
      <c r="L58" s="35" t="str">
        <f>IF('4. Cash flow '!E58&lt;('2. Inputs and results'!$B$23+1),'Solution 1, (hidden)'!C51-'Solution 1, (hidden)'!M51," ")</f>
        <v xml:space="preserve"> </v>
      </c>
      <c r="M58" s="35" t="str">
        <f>IF(E58&lt;('2. Inputs and results'!$C$23+1),'Solution  2, (hidden)'!C51-'Solution  2, (hidden)'!M51," ")</f>
        <v xml:space="preserve"> </v>
      </c>
      <c r="N58" s="37" t="str">
        <f>IF('4. Cash flow '!E58&lt;('2. Inputs and results'!$B$23+1),'Solution 1, (hidden)'!G51+'Solution 1, (hidden)'!I51+'Solution 1, (hidden)'!H51+'Solution 1, (hidden)'!J51-'Solution 1, (hidden)'!M51," ")</f>
        <v xml:space="preserve"> </v>
      </c>
      <c r="O58" s="37" t="str">
        <f>IF(E58&lt;('2. Inputs and results'!$C$23+1),'Solution  2, (hidden)'!G51+'Solution  2, (hidden)'!I51+'Solution  2, (hidden)'!H51+'Solution  2, (hidden)'!J51-'Solution  2, (hidden)'!M51," ")</f>
        <v xml:space="preserve"> </v>
      </c>
      <c r="P58" s="37" t="str">
        <f>IF('4. Cash flow '!E58&lt;('2. Inputs and results'!$B$23+1),'Solution 1, (hidden) (2)'!G51+'Solution 1, (hidden) (2)'!I51+'Solution 1, (hidden) (2)'!H51+'Solution 1, (hidden) (2)'!J51-'Solution 1, (hidden) (2)'!M51," ")</f>
        <v xml:space="preserve"> </v>
      </c>
      <c r="Q58" s="37" t="str">
        <f>IF(E58&lt;('2. Inputs and results'!$C$23+1),'Solution  2, (hidden) (2)'!G51+'Solution  2, (hidden) (2)'!I51+'Solution  2, (hidden) (2)'!H51+'Solution  2, (hidden) (2)'!J51-'Solution  2, (hidden) (2)'!M51," ")</f>
        <v xml:space="preserve"> </v>
      </c>
    </row>
    <row r="59" spans="3:17">
      <c r="C59" t="str">
        <f>'Solution 1, (hidden)'!B52</f>
        <v xml:space="preserve"> </v>
      </c>
      <c r="D59" t="str">
        <f>'Solution  2, (hidden)'!B52</f>
        <v xml:space="preserve"> </v>
      </c>
      <c r="E59" t="str">
        <f>IF('2. Inputs and results'!$C$23&gt;='2. Inputs and results'!$B$23,'Solution  2, (hidden)'!B52,'Solution 1, (hidden)'!B52)</f>
        <v xml:space="preserve"> </v>
      </c>
      <c r="F59" s="34" t="e">
        <f>'Solution 1, (hidden)'!W52</f>
        <v>#N/A</v>
      </c>
      <c r="G59" s="34" t="e">
        <f>'Solution  2, (hidden)'!W52</f>
        <v>#N/A</v>
      </c>
      <c r="H59" s="34" t="e">
        <f>'Solution 1, (hidden)'!R52</f>
        <v>#N/A</v>
      </c>
      <c r="I59" s="34" t="e">
        <f>'Solution  2, (hidden)'!R52</f>
        <v>#N/A</v>
      </c>
      <c r="J59" s="31" t="e">
        <f>'Solution 1, (hidden) (2)'!R52</f>
        <v>#N/A</v>
      </c>
      <c r="K59" s="31" t="e">
        <f>'Solution  2, (hidden) (2)'!R52</f>
        <v>#N/A</v>
      </c>
      <c r="L59" s="35" t="str">
        <f>IF('4. Cash flow '!E59&lt;('2. Inputs and results'!$B$23+1),'Solution 1, (hidden)'!C52-'Solution 1, (hidden)'!M52," ")</f>
        <v xml:space="preserve"> </v>
      </c>
      <c r="M59" s="35" t="str">
        <f>IF(E59&lt;('2. Inputs and results'!$C$23+1),'Solution  2, (hidden)'!C52-'Solution  2, (hidden)'!M52," ")</f>
        <v xml:space="preserve"> </v>
      </c>
      <c r="N59" s="37" t="str">
        <f>IF('4. Cash flow '!E59&lt;('2. Inputs and results'!$B$23+1),'Solution 1, (hidden)'!G52+'Solution 1, (hidden)'!I52+'Solution 1, (hidden)'!H52+'Solution 1, (hidden)'!J52-'Solution 1, (hidden)'!M52," ")</f>
        <v xml:space="preserve"> </v>
      </c>
      <c r="O59" s="37" t="str">
        <f>IF(E59&lt;('2. Inputs and results'!$C$23+1),'Solution  2, (hidden)'!G52+'Solution  2, (hidden)'!I52+'Solution  2, (hidden)'!H52+'Solution  2, (hidden)'!J52-'Solution  2, (hidden)'!M52," ")</f>
        <v xml:space="preserve"> </v>
      </c>
      <c r="P59" s="37" t="str">
        <f>IF('4. Cash flow '!E59&lt;('2. Inputs and results'!$B$23+1),'Solution 1, (hidden) (2)'!G52+'Solution 1, (hidden) (2)'!I52+'Solution 1, (hidden) (2)'!H52+'Solution 1, (hidden) (2)'!J52-'Solution 1, (hidden) (2)'!M52," ")</f>
        <v xml:space="preserve"> </v>
      </c>
      <c r="Q59" s="37" t="str">
        <f>IF(E59&lt;('2. Inputs and results'!$C$23+1),'Solution  2, (hidden) (2)'!G52+'Solution  2, (hidden) (2)'!I52+'Solution  2, (hidden) (2)'!H52+'Solution  2, (hidden) (2)'!J52-'Solution  2, (hidden) (2)'!M52," ")</f>
        <v xml:space="preserve"> </v>
      </c>
    </row>
    <row r="60" spans="3:17">
      <c r="C60" t="str">
        <f>'Solution 1, (hidden)'!B53</f>
        <v xml:space="preserve"> </v>
      </c>
      <c r="D60" t="str">
        <f>'Solution  2, (hidden)'!B53</f>
        <v xml:space="preserve"> </v>
      </c>
      <c r="E60" t="str">
        <f>IF('2. Inputs and results'!$C$23&gt;='2. Inputs and results'!$B$23,'Solution  2, (hidden)'!B53,'Solution 1, (hidden)'!B53)</f>
        <v xml:space="preserve"> </v>
      </c>
      <c r="F60" s="34" t="e">
        <f>'Solution 1, (hidden)'!W53</f>
        <v>#N/A</v>
      </c>
      <c r="G60" s="34" t="e">
        <f>'Solution  2, (hidden)'!W53</f>
        <v>#N/A</v>
      </c>
      <c r="H60" s="34" t="e">
        <f>'Solution 1, (hidden)'!R53</f>
        <v>#N/A</v>
      </c>
      <c r="I60" s="34" t="e">
        <f>'Solution  2, (hidden)'!R53</f>
        <v>#N/A</v>
      </c>
      <c r="J60" s="31" t="e">
        <f>'Solution 1, (hidden) (2)'!R53</f>
        <v>#N/A</v>
      </c>
      <c r="K60" s="31" t="e">
        <f>'Solution  2, (hidden) (2)'!R53</f>
        <v>#N/A</v>
      </c>
      <c r="L60" s="35" t="str">
        <f>IF('4. Cash flow '!E60&lt;('2. Inputs and results'!$B$23+1),'Solution 1, (hidden)'!C53-'Solution 1, (hidden)'!M53," ")</f>
        <v xml:space="preserve"> </v>
      </c>
      <c r="M60" s="35" t="str">
        <f>IF(E60&lt;('2. Inputs and results'!$C$23+1),'Solution  2, (hidden)'!C53-'Solution  2, (hidden)'!M53," ")</f>
        <v xml:space="preserve"> </v>
      </c>
      <c r="N60" s="37" t="str">
        <f>IF('4. Cash flow '!E60&lt;('2. Inputs and results'!$B$23+1),'Solution 1, (hidden)'!G53+'Solution 1, (hidden)'!I53+'Solution 1, (hidden)'!H53+'Solution 1, (hidden)'!J53-'Solution 1, (hidden)'!M53," ")</f>
        <v xml:space="preserve"> </v>
      </c>
      <c r="O60" s="37" t="str">
        <f>IF(E60&lt;('2. Inputs and results'!$C$23+1),'Solution  2, (hidden)'!G53+'Solution  2, (hidden)'!I53+'Solution  2, (hidden)'!H53+'Solution  2, (hidden)'!J53-'Solution  2, (hidden)'!M53," ")</f>
        <v xml:space="preserve"> </v>
      </c>
      <c r="P60" s="37" t="str">
        <f>IF('4. Cash flow '!E60&lt;('2. Inputs and results'!$B$23+1),'Solution 1, (hidden) (2)'!G53+'Solution 1, (hidden) (2)'!I53+'Solution 1, (hidden) (2)'!H53+'Solution 1, (hidden) (2)'!J53-'Solution 1, (hidden) (2)'!M53," ")</f>
        <v xml:space="preserve"> </v>
      </c>
      <c r="Q60" s="37" t="str">
        <f>IF(E60&lt;('2. Inputs and results'!$C$23+1),'Solution  2, (hidden) (2)'!G53+'Solution  2, (hidden) (2)'!I53+'Solution  2, (hidden) (2)'!H53+'Solution  2, (hidden) (2)'!J53-'Solution  2, (hidden) (2)'!M53," ")</f>
        <v xml:space="preserve"> </v>
      </c>
    </row>
    <row r="61" spans="3:17">
      <c r="C61" t="str">
        <f>'Solution 1, (hidden)'!B54</f>
        <v xml:space="preserve"> </v>
      </c>
      <c r="D61" t="str">
        <f>'Solution  2, (hidden)'!B54</f>
        <v xml:space="preserve"> </v>
      </c>
      <c r="E61" t="str">
        <f>IF('2. Inputs and results'!$C$23&gt;='2. Inputs and results'!$B$23,'Solution  2, (hidden)'!B54,'Solution 1, (hidden)'!B54)</f>
        <v xml:space="preserve"> </v>
      </c>
      <c r="F61" s="34" t="e">
        <f>'Solution 1, (hidden)'!W54</f>
        <v>#N/A</v>
      </c>
      <c r="G61" s="34" t="e">
        <f>'Solution  2, (hidden)'!W54</f>
        <v>#N/A</v>
      </c>
      <c r="H61" s="34" t="e">
        <f>'Solution 1, (hidden)'!R54</f>
        <v>#N/A</v>
      </c>
      <c r="I61" s="34" t="e">
        <f>'Solution  2, (hidden)'!R54</f>
        <v>#N/A</v>
      </c>
      <c r="J61" s="31" t="e">
        <f>'Solution 1, (hidden) (2)'!R54</f>
        <v>#N/A</v>
      </c>
      <c r="K61" s="31" t="e">
        <f>'Solution  2, (hidden) (2)'!R54</f>
        <v>#N/A</v>
      </c>
      <c r="L61" s="35" t="str">
        <f>IF('4. Cash flow '!E61&lt;('2. Inputs and results'!$B$23+1),'Solution 1, (hidden)'!C54-'Solution 1, (hidden)'!M54," ")</f>
        <v xml:space="preserve"> </v>
      </c>
      <c r="M61" s="35" t="str">
        <f>IF(E61&lt;('2. Inputs and results'!$C$23+1),'Solution  2, (hidden)'!C54-'Solution  2, (hidden)'!M54," ")</f>
        <v xml:space="preserve"> </v>
      </c>
      <c r="N61" s="37" t="str">
        <f>IF('4. Cash flow '!E61&lt;('2. Inputs and results'!$B$23+1),'Solution 1, (hidden)'!G54+'Solution 1, (hidden)'!I54+'Solution 1, (hidden)'!H54+'Solution 1, (hidden)'!J54-'Solution 1, (hidden)'!M54," ")</f>
        <v xml:space="preserve"> </v>
      </c>
      <c r="O61" s="37" t="str">
        <f>IF(E61&lt;('2. Inputs and results'!$C$23+1),'Solution  2, (hidden)'!G54+'Solution  2, (hidden)'!I54+'Solution  2, (hidden)'!H54+'Solution  2, (hidden)'!J54-'Solution  2, (hidden)'!M54," ")</f>
        <v xml:space="preserve"> </v>
      </c>
      <c r="P61" s="37" t="str">
        <f>IF('4. Cash flow '!E61&lt;('2. Inputs and results'!$B$23+1),'Solution 1, (hidden) (2)'!G54+'Solution 1, (hidden) (2)'!I54+'Solution 1, (hidden) (2)'!H54+'Solution 1, (hidden) (2)'!J54-'Solution 1, (hidden) (2)'!M54," ")</f>
        <v xml:space="preserve"> </v>
      </c>
      <c r="Q61" s="37" t="str">
        <f>IF(E61&lt;('2. Inputs and results'!$C$23+1),'Solution  2, (hidden) (2)'!G54+'Solution  2, (hidden) (2)'!I54+'Solution  2, (hidden) (2)'!H54+'Solution  2, (hidden) (2)'!J54-'Solution  2, (hidden) (2)'!M54," ")</f>
        <v xml:space="preserve"> </v>
      </c>
    </row>
    <row r="62" spans="3:17">
      <c r="C62" t="str">
        <f>'Solution 1, (hidden)'!B55</f>
        <v xml:space="preserve"> </v>
      </c>
      <c r="D62" t="str">
        <f>'Solution  2, (hidden)'!B55</f>
        <v xml:space="preserve"> </v>
      </c>
      <c r="E62" t="str">
        <f>IF('2. Inputs and results'!$C$23&gt;='2. Inputs and results'!$B$23,'Solution  2, (hidden)'!B55,'Solution 1, (hidden)'!B55)</f>
        <v xml:space="preserve"> </v>
      </c>
      <c r="F62" s="34" t="e">
        <f>'Solution 1, (hidden)'!W55</f>
        <v>#N/A</v>
      </c>
      <c r="G62" s="34" t="e">
        <f>'Solution  2, (hidden)'!W55</f>
        <v>#N/A</v>
      </c>
      <c r="H62" s="34" t="e">
        <f>'Solution 1, (hidden)'!R55</f>
        <v>#N/A</v>
      </c>
      <c r="I62" s="34" t="e">
        <f>'Solution  2, (hidden)'!R55</f>
        <v>#N/A</v>
      </c>
      <c r="J62" s="31" t="e">
        <f>'Solution 1, (hidden) (2)'!R55</f>
        <v>#N/A</v>
      </c>
      <c r="K62" s="31"/>
      <c r="L62" s="35" t="str">
        <f>IF('4. Cash flow '!E62&lt;('2. Inputs and results'!$B$23+1),'Solution 1, (hidden)'!C55-'Solution 1, (hidden)'!M55," ")</f>
        <v xml:space="preserve"> </v>
      </c>
      <c r="M62" s="35" t="str">
        <f>IF(E62&lt;('2. Inputs and results'!$C$23+1),'Solution  2, (hidden)'!C55-'Solution  2, (hidden)'!M55," ")</f>
        <v xml:space="preserve"> </v>
      </c>
      <c r="N62" s="37" t="str">
        <f>IF('4. Cash flow '!E62&lt;('2. Inputs and results'!$B$23+1),'Solution 1, (hidden)'!G55+'Solution 1, (hidden)'!I55+'Solution 1, (hidden)'!H55-'Solution 1, (hidden)'!M55," ")</f>
        <v xml:space="preserve"> </v>
      </c>
      <c r="O62" s="37" t="str">
        <f>IF(E62&lt;('2. Inputs and results'!$C$23+1),'Solution  2, (hidden)'!G55+'Solution  2, (hidden)'!I55+'Solution  2, (hidden)'!H55-'Solution  2, (hidden)'!M55," ")</f>
        <v xml:space="preserve"> </v>
      </c>
      <c r="P62" s="37" t="str">
        <f>IF('4. Cash flow '!E62&lt;('2. Inputs and results'!$B$23+1),'Solution 1, (hidden) (2)'!G55+'Solution 1, (hidden) (2)'!I55+'Solution 1, (hidden) (2)'!H55+'Solution 1, (hidden) (2)'!J55-'Solution 1, (hidden) (2)'!M55," ")</f>
        <v xml:space="preserve"> </v>
      </c>
    </row>
    <row r="63" spans="3:17">
      <c r="F63" s="35"/>
      <c r="G63" s="35"/>
      <c r="H63" s="35"/>
      <c r="I63" s="35"/>
      <c r="L63" s="42"/>
    </row>
  </sheetData>
  <sheetProtection sheet="1" objects="1" scenarios="1"/>
  <conditionalFormatting sqref="J1:J1048576">
    <cfRule type="cellIs" dxfId="22" priority="3" operator="equal">
      <formula>"#PUUTTUU! "</formula>
    </cfRule>
  </conditionalFormatting>
  <conditionalFormatting sqref="J1:K1048576">
    <cfRule type="cellIs" dxfId="21" priority="7" operator="equal">
      <formula>"PUUTTUU"</formula>
    </cfRule>
    <cfRule type="cellIs" dxfId="20" priority="6" operator="equal">
      <formula>"#PUUTTUU! "</formula>
    </cfRule>
    <cfRule type="cellIs" dxfId="19" priority="5" operator="equal">
      <formula>"#PUUTTUU!  "</formula>
    </cfRule>
    <cfRule type="expression" dxfId="18" priority="4">
      <formula>#N/A</formula>
    </cfRule>
    <cfRule type="containsErrors" dxfId="17" priority="2">
      <formula>ISERROR(J1)</formula>
    </cfRule>
  </conditionalFormatting>
  <conditionalFormatting sqref="F12:K62">
    <cfRule type="cellIs" dxfId="16" priority="1" operator="lessThan">
      <formula>0</formula>
    </cfRule>
  </conditionalFormatting>
  <pageMargins left="0.7" right="0.7" top="0.75" bottom="0.75" header="0.3" footer="0.3"/>
  <pageSetup paperSize="9" scale="63"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ul9">
    <pageSetUpPr fitToPage="1"/>
  </sheetPr>
  <dimension ref="A1:K63"/>
  <sheetViews>
    <sheetView workbookViewId="0">
      <selection activeCell="D5" sqref="D5"/>
    </sheetView>
  </sheetViews>
  <sheetFormatPr defaultColWidth="9" defaultRowHeight="15"/>
  <cols>
    <col min="1" max="1" width="37.28515625" customWidth="1"/>
    <col min="2" max="2" width="36.42578125" customWidth="1"/>
    <col min="3" max="3" width="11.42578125" customWidth="1"/>
    <col min="4" max="4" width="10.42578125" customWidth="1"/>
    <col min="5" max="5" width="7.5703125" customWidth="1"/>
    <col min="6" max="6" width="34.85546875" customWidth="1"/>
    <col min="7" max="7" width="29.28515625" customWidth="1"/>
    <col min="8" max="9" width="40.7109375" customWidth="1"/>
    <col min="10" max="10" width="41" customWidth="1"/>
    <col min="11" max="11" width="40.85546875" customWidth="1"/>
  </cols>
  <sheetData>
    <row r="1" spans="1:11" ht="76.5" customHeight="1"/>
    <row r="2" spans="1:11">
      <c r="A2" s="22" t="s">
        <v>93</v>
      </c>
      <c r="B2" s="23" t="str">
        <f>'2. Inputs and results'!B5</f>
        <v>Building</v>
      </c>
    </row>
    <row r="3" spans="1:11">
      <c r="A3" s="24"/>
      <c r="B3" s="25"/>
    </row>
    <row r="4" spans="1:11">
      <c r="A4" s="24" t="s">
        <v>95</v>
      </c>
      <c r="B4" s="26" t="str">
        <f>'2. Inputs and results'!B6</f>
        <v>Housing/ Residential building</v>
      </c>
    </row>
    <row r="5" spans="1:11">
      <c r="A5" s="24"/>
      <c r="B5" s="25"/>
    </row>
    <row r="6" spans="1:11">
      <c r="A6" s="24" t="s">
        <v>97</v>
      </c>
      <c r="B6" s="26" t="str">
        <f>'2. Inputs and results'!B8</f>
        <v>District heating</v>
      </c>
    </row>
    <row r="7" spans="1:11">
      <c r="A7" s="24" t="s">
        <v>99</v>
      </c>
      <c r="B7" s="26" t="str">
        <f>'2. Inputs and results'!B9</f>
        <v>Other</v>
      </c>
    </row>
    <row r="8" spans="1:11">
      <c r="A8" s="27" t="s">
        <v>101</v>
      </c>
      <c r="B8" s="28" t="str">
        <f>'2. Inputs and results'!B10</f>
        <v>None</v>
      </c>
    </row>
    <row r="9" spans="1:11">
      <c r="F9" s="29" t="s">
        <v>201</v>
      </c>
      <c r="G9" s="29" t="s">
        <v>202</v>
      </c>
      <c r="H9" s="29" t="s">
        <v>203</v>
      </c>
      <c r="I9" s="29" t="s">
        <v>204</v>
      </c>
      <c r="J9" s="29" t="s">
        <v>205</v>
      </c>
      <c r="K9" s="29" t="s">
        <v>206</v>
      </c>
    </row>
    <row r="10" spans="1:11">
      <c r="C10" s="29" t="s">
        <v>207</v>
      </c>
      <c r="D10" s="29" t="s">
        <v>208</v>
      </c>
      <c r="E10" s="29" t="s">
        <v>209</v>
      </c>
      <c r="F10" s="29" t="str">
        <f>'2. Inputs and results'!B19</f>
        <v>One measure</v>
      </c>
      <c r="G10" s="29" t="str">
        <f>'2. Inputs and results'!C19</f>
        <v>Group procurement of the measure</v>
      </c>
      <c r="H10" s="29" t="str">
        <f>'2. Inputs and results'!B19</f>
        <v>One measure</v>
      </c>
      <c r="I10" s="29" t="str">
        <f>'2. Inputs and results'!C19</f>
        <v>Group procurement of the measure</v>
      </c>
      <c r="J10" s="29" t="str">
        <f>'2. Inputs and results'!B19</f>
        <v>One measure</v>
      </c>
      <c r="K10" s="29" t="str">
        <f>'2. Inputs and results'!C19</f>
        <v>Group procurement of the measure</v>
      </c>
    </row>
    <row r="11" spans="1:11">
      <c r="H11" s="29"/>
      <c r="I11" s="29"/>
      <c r="J11" s="29"/>
      <c r="K11" s="29"/>
    </row>
    <row r="12" spans="1:11">
      <c r="C12">
        <f>'Solution 1, (hidden)'!B5</f>
        <v>0</v>
      </c>
      <c r="D12">
        <f>'Solution  2, (hidden)'!B5</f>
        <v>0</v>
      </c>
      <c r="E12">
        <f>IF('2. Inputs and results'!$C$23&gt;='2. Inputs and results'!$B$23,'Solution  2, (hidden)'!B5,'Solution 1, (hidden)'!B5)</f>
        <v>0</v>
      </c>
      <c r="F12" s="31">
        <f>'Solution 1, (hidden)'!Z5</f>
        <v>-156400</v>
      </c>
      <c r="G12" s="31">
        <f>'Solution  2, (hidden)'!Z5</f>
        <v>-595000</v>
      </c>
      <c r="H12" s="31">
        <f>'Solution 1, (hidden)'!U5</f>
        <v>-156400</v>
      </c>
      <c r="I12" s="31">
        <f>'Solution  2, (hidden)'!U5</f>
        <v>-595000</v>
      </c>
      <c r="J12" s="31">
        <f>'Solution 1, (hidden) (2)'!U5</f>
        <v>-156400</v>
      </c>
      <c r="K12" s="31">
        <f>'Solution  2, (hidden) (2)'!U5</f>
        <v>-595000</v>
      </c>
    </row>
    <row r="13" spans="1:11">
      <c r="C13">
        <f>'Solution 1, (hidden)'!B6</f>
        <v>1</v>
      </c>
      <c r="D13">
        <f>'Solution  2, (hidden)'!B6</f>
        <v>1</v>
      </c>
      <c r="E13">
        <f>IF('2. Inputs and results'!$C$23&gt;='2. Inputs and results'!$B$23,'Solution  2, (hidden)'!B6,'Solution 1, (hidden)'!B6)</f>
        <v>1</v>
      </c>
      <c r="F13" s="31">
        <f>'Solution 1, (hidden)'!Z6</f>
        <v>-150157.69230769231</v>
      </c>
      <c r="G13" s="31">
        <f>'Solution  2, (hidden)'!Z6</f>
        <v>-558076.92307692312</v>
      </c>
      <c r="H13" s="31">
        <f>'Solution 1, (hidden)'!U6</f>
        <v>-150157.69230769231</v>
      </c>
      <c r="I13" s="31">
        <f>'Solution  2, (hidden)'!U6</f>
        <v>-558076.92307692312</v>
      </c>
      <c r="J13" s="31">
        <f>'Solution 1, (hidden) (2)'!U6</f>
        <v>-150157.69230769231</v>
      </c>
      <c r="K13" s="31">
        <f>'Solution  2, (hidden) (2)'!U6</f>
        <v>-558076.92307692312</v>
      </c>
    </row>
    <row r="14" spans="1:11">
      <c r="C14">
        <f>'Solution 1, (hidden)'!B7</f>
        <v>2</v>
      </c>
      <c r="D14">
        <f>'Solution  2, (hidden)'!B7</f>
        <v>2</v>
      </c>
      <c r="E14">
        <f>IF('2. Inputs and results'!$C$23&gt;='2. Inputs and results'!$B$23,'Solution  2, (hidden)'!B7,'Solution 1, (hidden)'!B7)</f>
        <v>2</v>
      </c>
      <c r="F14" s="31">
        <f>'Solution 1, (hidden)'!Z7</f>
        <v>-144035.42899408285</v>
      </c>
      <c r="G14" s="31">
        <f>'Solution  2, (hidden)'!Z7</f>
        <v>-521863.90532544383</v>
      </c>
      <c r="H14" s="31">
        <f>'Solution 1, (hidden)'!U7</f>
        <v>-143717.56656804733</v>
      </c>
      <c r="I14" s="31">
        <f>'Solution  2, (hidden)'!U7</f>
        <v>-520274.59319526632</v>
      </c>
      <c r="J14" s="31">
        <f>'Solution 1, (hidden) (2)'!U7</f>
        <v>-143399.70414201185</v>
      </c>
      <c r="K14" s="31">
        <f>'Solution  2, (hidden) (2)'!U7</f>
        <v>-518685.28106508881</v>
      </c>
    </row>
    <row r="15" spans="1:11">
      <c r="C15">
        <f>'Solution 1, (hidden)'!B8</f>
        <v>3</v>
      </c>
      <c r="D15">
        <f>'Solution  2, (hidden)'!B8</f>
        <v>3</v>
      </c>
      <c r="E15">
        <f>IF('2. Inputs and results'!$C$23&gt;='2. Inputs and results'!$B$23,'Solution  2, (hidden)'!B8,'Solution 1, (hidden)'!B8)</f>
        <v>3</v>
      </c>
      <c r="F15" s="31">
        <f>'Solution 1, (hidden)'!Z8</f>
        <v>-138030.90151342741</v>
      </c>
      <c r="G15" s="31">
        <f>'Solution  2, (hidden)'!Z8</f>
        <v>-486347.29176149296</v>
      </c>
      <c r="H15" s="31">
        <f>'Solution 1, (hidden)'!U8</f>
        <v>-137086.48334376421</v>
      </c>
      <c r="I15" s="31">
        <f>'Solution  2, (hidden)'!U8</f>
        <v>-481625.2009131771</v>
      </c>
      <c r="J15" s="31">
        <f>'Solution 1, (hidden) (2)'!U8</f>
        <v>-136123.72695721439</v>
      </c>
      <c r="K15" s="31">
        <f>'Solution  2, (hidden) (2)'!U8</f>
        <v>-476811.4189804279</v>
      </c>
    </row>
    <row r="16" spans="1:11">
      <c r="C16">
        <f>'Solution 1, (hidden)'!B9</f>
        <v>4</v>
      </c>
      <c r="D16">
        <f>'Solution  2, (hidden)'!B9</f>
        <v>4</v>
      </c>
      <c r="E16">
        <f>IF('2. Inputs and results'!$C$23&gt;='2. Inputs and results'!$B$23,'Solution  2, (hidden)'!B9,'Solution 1, (hidden)'!B9)</f>
        <v>4</v>
      </c>
      <c r="F16" s="31">
        <f>'Solution 1, (hidden)'!Z9</f>
        <v>-132141.84571509226</v>
      </c>
      <c r="G16" s="31">
        <f>'Solution  2, (hidden)'!Z9</f>
        <v>-451513.68999684887</v>
      </c>
      <c r="H16" s="31">
        <f>'Solution 1, (hidden)'!U9</f>
        <v>-130271.14187547594</v>
      </c>
      <c r="I16" s="31">
        <f>'Solution  2, (hidden)'!U9</f>
        <v>-442160.17079876736</v>
      </c>
      <c r="J16" s="31">
        <f>'Solution 1, (hidden) (2)'!U9</f>
        <v>-128327.26149732152</v>
      </c>
      <c r="K16" s="31">
        <f>'Solution  2, (hidden) (2)'!U9</f>
        <v>-432440.7689079952</v>
      </c>
    </row>
    <row r="17" spans="3:11">
      <c r="C17">
        <f>'Solution 1, (hidden)'!B10</f>
        <v>5</v>
      </c>
      <c r="D17">
        <f>'Solution  2, (hidden)'!B10</f>
        <v>5</v>
      </c>
      <c r="E17">
        <f>IF('2. Inputs and results'!$C$23&gt;='2. Inputs and results'!$B$23,'Solution  2, (hidden)'!B10,'Solution 1, (hidden)'!B10)</f>
        <v>5</v>
      </c>
      <c r="F17" s="31">
        <f>'Solution 1, (hidden)'!Z10</f>
        <v>-126366.04098980203</v>
      </c>
      <c r="G17" s="31">
        <f>'Solution  2, (hidden)'!Z10</f>
        <v>-417349.96518921718</v>
      </c>
      <c r="H17" s="31">
        <f>'Solution 1, (hidden)'!U10</f>
        <v>-123278.08346667532</v>
      </c>
      <c r="I17" s="31">
        <f>'Solution  2, (hidden)'!U10</f>
        <v>-401910.17757358373</v>
      </c>
      <c r="J17" s="31">
        <f>'Solution 1, (hidden) (2)'!U10</f>
        <v>-120007.61694236846</v>
      </c>
      <c r="K17" s="31">
        <f>'Solution  2, (hidden) (2)'!U10</f>
        <v>-385557.84495204932</v>
      </c>
    </row>
    <row r="18" spans="3:11">
      <c r="C18">
        <f>'Solution 1, (hidden)'!B11</f>
        <v>6</v>
      </c>
      <c r="D18">
        <f>'Solution  2, (hidden)'!B11</f>
        <v>6</v>
      </c>
      <c r="E18">
        <f>IF('2. Inputs and results'!$C$23&gt;='2. Inputs and results'!$B$23,'Solution  2, (hidden)'!B11,'Solution 1, (hidden)'!B11)</f>
        <v>6</v>
      </c>
      <c r="F18" s="31">
        <f>'Solution 1, (hidden)'!Z11</f>
        <v>-120701.30943230583</v>
      </c>
      <c r="G18" s="31">
        <f>'Solution  2, (hidden)'!Z11</f>
        <v>-383843.23508942453</v>
      </c>
      <c r="H18" s="31">
        <f>'Solution 1, (hidden)'!U11</f>
        <v>-116113.69480082911</v>
      </c>
      <c r="I18" s="31">
        <f>'Solution  2, (hidden)'!U11</f>
        <v>-360905.161932041</v>
      </c>
      <c r="J18" s="31">
        <f>'Solution 1, (hidden) (2)'!U11</f>
        <v>-111161.90998412299</v>
      </c>
      <c r="K18" s="31">
        <f>'Solution  2, (hidden) (2)'!U11</f>
        <v>-336146.23784851027</v>
      </c>
    </row>
    <row r="19" spans="3:11">
      <c r="C19">
        <f>'Solution 1, (hidden)'!B12</f>
        <v>7</v>
      </c>
      <c r="D19">
        <f>'Solution  2, (hidden)'!B12</f>
        <v>7</v>
      </c>
      <c r="E19">
        <f>IF('2. Inputs and results'!$C$23&gt;='2. Inputs and results'!$B$23,'Solution  2, (hidden)'!B12,'Solution 1, (hidden)'!B12)</f>
        <v>7</v>
      </c>
      <c r="F19" s="31">
        <f>'Solution 1, (hidden)'!Z12</f>
        <v>-115145.51502014611</v>
      </c>
      <c r="G19" s="31">
        <f>'Solution  2, (hidden)'!Z12</f>
        <v>-350980.86518385867</v>
      </c>
      <c r="H19" s="31">
        <f>'Solution 1, (hidden)'!U12</f>
        <v>-108784.21119201051</v>
      </c>
      <c r="I19" s="31">
        <f>'Solution  2, (hidden)'!U12</f>
        <v>-319174.34604318073</v>
      </c>
      <c r="J19" s="31">
        <f>'Solution 1, (hidden) (2)'!U12</f>
        <v>-101787.06383095976</v>
      </c>
      <c r="K19" s="31">
        <f>'Solution  2, (hidden) (2)'!U12</f>
        <v>-284188.60923792684</v>
      </c>
    </row>
    <row r="20" spans="3:11">
      <c r="C20">
        <f>'Solution 1, (hidden)'!B13</f>
        <v>8</v>
      </c>
      <c r="D20">
        <f>'Solution  2, (hidden)'!B13</f>
        <v>8</v>
      </c>
      <c r="E20">
        <f>IF('2. Inputs and results'!$C$23&gt;='2. Inputs and results'!$B$23,'Solution  2, (hidden)'!B13,'Solution 1, (hidden)'!B13)</f>
        <v>8</v>
      </c>
      <c r="F20" s="31">
        <f>'Solution 1, (hidden)'!Z13</f>
        <v>-109696.56280822022</v>
      </c>
      <c r="G20" s="31">
        <f>'Solution  2, (hidden)'!Z13</f>
        <v>-318750.46393032291</v>
      </c>
      <c r="H20" s="31">
        <f>'Solution 1, (hidden)'!U13</f>
        <v>-101295.71977035442</v>
      </c>
      <c r="I20" s="31">
        <f>'Solution  2, (hidden)'!U13</f>
        <v>-276746.24874099396</v>
      </c>
      <c r="J20" s="31">
        <f>'Solution 1, (hidden) (2)'!U13</f>
        <v>-91879.807141548052</v>
      </c>
      <c r="K20" s="31">
        <f>'Solution  2, (hidden) (2)'!U13</f>
        <v>-229666.68559696196</v>
      </c>
    </row>
    <row r="21" spans="3:11">
      <c r="C21">
        <f>'Solution 1, (hidden)'!B14</f>
        <v>9</v>
      </c>
      <c r="D21">
        <f>'Solution  2, (hidden)'!B14</f>
        <v>9</v>
      </c>
      <c r="E21">
        <f>IF('2. Inputs and results'!$C$23&gt;='2. Inputs and results'!$B$23,'Solution  2, (hidden)'!B14,'Solution 1, (hidden)'!B14)</f>
        <v>9</v>
      </c>
      <c r="F21" s="31">
        <f>'Solution 1, (hidden)'!Z14</f>
        <v>-104352.39813883137</v>
      </c>
      <c r="G21" s="31">
        <f>'Solution  2, (hidden)'!Z14</f>
        <v>-287139.878085509</v>
      </c>
      <c r="H21" s="31">
        <f>'Solution 1, (hidden)'!U14</f>
        <v>-93654.162603614444</v>
      </c>
      <c r="I21" s="31">
        <f>'Solution  2, (hidden)'!U14</f>
        <v>-233648.70040942443</v>
      </c>
      <c r="J21" s="31">
        <f>'Solution 1, (hidden) (2)'!U14</f>
        <v>-81436.672886985078</v>
      </c>
      <c r="K21" s="31">
        <f>'Solution  2, (hidden) (2)'!U14</f>
        <v>-172561.25182627738</v>
      </c>
    </row>
    <row r="22" spans="3:11">
      <c r="C22">
        <f>'Solution 1, (hidden)'!B15</f>
        <v>10</v>
      </c>
      <c r="D22">
        <f>'Solution  2, (hidden)'!B15</f>
        <v>10</v>
      </c>
      <c r="E22">
        <f>IF('2. Inputs and results'!$C$23&gt;='2. Inputs and results'!$B$23,'Solution  2, (hidden)'!B15,'Solution 1, (hidden)'!B15)</f>
        <v>10</v>
      </c>
      <c r="F22" s="31">
        <f>'Solution 1, (hidden)'!Z15</f>
        <v>-99111.005866930762</v>
      </c>
      <c r="G22" s="31">
        <f>'Solution  2, (hidden)'!Z15</f>
        <v>-256137.18812232616</v>
      </c>
      <c r="H22" s="31">
        <f>'Solution 1, (hidden)'!U15</f>
        <v>-85865.33975607586</v>
      </c>
      <c r="I22" s="31">
        <f>'Solution  2, (hidden)'!U15</f>
        <v>-189908.85756805161</v>
      </c>
      <c r="J22" s="31">
        <f>'Solution 1, (hidden) (2)'!U15</f>
        <v>-70453.997140980355</v>
      </c>
      <c r="K22" s="31">
        <f>'Solution  2, (hidden) (2)'!U15</f>
        <v>-112852.14449257392</v>
      </c>
    </row>
    <row r="23" spans="3:11">
      <c r="C23">
        <f>'Solution 1, (hidden)'!B16</f>
        <v>11</v>
      </c>
      <c r="D23">
        <f>'Solution  2, (hidden)'!B16</f>
        <v>11</v>
      </c>
      <c r="E23">
        <f>IF('2. Inputs and results'!$C$23&gt;='2. Inputs and results'!$B$23,'Solution  2, (hidden)'!B16,'Solution 1, (hidden)'!B16)</f>
        <v>11</v>
      </c>
      <c r="F23" s="31">
        <f>'Solution 1, (hidden)'!Z16</f>
        <v>-93970.409600259023</v>
      </c>
      <c r="G23" s="31">
        <f>'Solution  2, (hidden)'!Z16</f>
        <v>-225730.70373535837</v>
      </c>
      <c r="H23" s="31">
        <f>'Solution 1, (hidden)'!U16</f>
        <v>-77934.912286054358</v>
      </c>
      <c r="I23" s="31">
        <f>'Solution  2, (hidden)'!U16</f>
        <v>-145553.21716433499</v>
      </c>
      <c r="J23" s="31">
        <f>'Solution 1, (hidden) (2)'!U16</f>
        <v>-58927.917797670532</v>
      </c>
      <c r="K23" s="31">
        <f>'Solution  2, (hidden) (2)'!U16</f>
        <v>-50742.091503544638</v>
      </c>
    </row>
    <row r="24" spans="3:11">
      <c r="C24">
        <f>'Solution 1, (hidden)'!B17</f>
        <v>12</v>
      </c>
      <c r="D24">
        <f>'Solution  2, (hidden)'!B17</f>
        <v>12</v>
      </c>
      <c r="E24">
        <f>IF('2. Inputs and results'!$C$23&gt;='2. Inputs and results'!$B$23,'Solution  2, (hidden)'!B17,'Solution 1, (hidden)'!B17)</f>
        <v>12</v>
      </c>
      <c r="F24" s="31">
        <f>'Solution 1, (hidden)'!Z17</f>
        <v>-88928.670954100206</v>
      </c>
      <c r="G24" s="31">
        <f>'Solution  2, (hidden)'!Z17</f>
        <v>-195908.95943275534</v>
      </c>
      <c r="H24" s="31">
        <f>'Solution 1, (hidden)'!U17</f>
        <v>-69868.405183186565</v>
      </c>
      <c r="I24" s="31">
        <f>'Solution  2, (hidden)'!U17</f>
        <v>-100607.63057818712</v>
      </c>
      <c r="J24" s="31">
        <f>'Solution 1, (hidden) (2)'!U17</f>
        <v>-46854.373216616987</v>
      </c>
      <c r="K24" s="31">
        <f>'Solution  2, (hidden) (2)'!U17</f>
        <v>12824.716342251137</v>
      </c>
    </row>
    <row r="25" spans="3:11">
      <c r="C25">
        <f>'Solution 1, (hidden)'!B18</f>
        <v>13</v>
      </c>
      <c r="D25">
        <f>'Solution  2, (hidden)'!B18</f>
        <v>13</v>
      </c>
      <c r="E25">
        <f>IF('2. Inputs and results'!$C$23&gt;='2. Inputs and results'!$B$23,'Solution  2, (hidden)'!B18,'Solution 1, (hidden)'!B18)</f>
        <v>13</v>
      </c>
      <c r="F25" s="31">
        <f>'Solution 1, (hidden)'!Z18</f>
        <v>-83983.888820367516</v>
      </c>
      <c r="G25" s="31">
        <f>'Solution  2, (hidden)'!Z18</f>
        <v>-166660.71021289469</v>
      </c>
      <c r="H25" s="31">
        <f>'Solution 1, (hidden)'!U18</f>
        <v>-61671.210246694762</v>
      </c>
      <c r="I25" s="31">
        <f>'Solution  2, (hidden)'!U18</f>
        <v>-55747.089293770499</v>
      </c>
      <c r="J25" s="31">
        <f>'Solution 1, (hidden) (2)'!U18</f>
        <v>-34229.100794512284</v>
      </c>
      <c r="K25" s="31">
        <f>'Solution  2, (hidden) (2)'!U18</f>
        <v>77866.203916642626</v>
      </c>
    </row>
    <row r="26" spans="3:11">
      <c r="C26">
        <f>'Solution 1, (hidden)'!B19</f>
        <v>14</v>
      </c>
      <c r="D26">
        <f>'Solution  2, (hidden)'!B19</f>
        <v>14</v>
      </c>
      <c r="E26">
        <f>IF('2. Inputs and results'!$C$23&gt;='2. Inputs and results'!$B$23,'Solution  2, (hidden)'!B19,'Solution 1, (hidden)'!B19)</f>
        <v>14</v>
      </c>
      <c r="F26" s="31">
        <f>'Solution 1, (hidden)'!Z19</f>
        <v>-79134.198650745064</v>
      </c>
      <c r="G26" s="31">
        <f>'Solution  2, (hidden)'!Z19</f>
        <v>-137974.92732418521</v>
      </c>
      <c r="H26" s="31">
        <f>'Solution 1, (hidden)'!U19</f>
        <v>-53348.588905785342</v>
      </c>
      <c r="I26" s="31">
        <f>'Solution  2, (hidden)'!U19</f>
        <v>-11196.629600465305</v>
      </c>
      <c r="J26" s="31">
        <f>'Solution 1, (hidden) (2)'!U19</f>
        <v>-21176.224841524745</v>
      </c>
      <c r="K26" s="31">
        <f>'Solution  2, (hidden) (2)'!U19</f>
        <v>144401.02886378835</v>
      </c>
    </row>
    <row r="27" spans="3:11">
      <c r="C27">
        <f>'Solution 1, (hidden)'!B20</f>
        <v>15</v>
      </c>
      <c r="D27">
        <f>'Solution  2, (hidden)'!B20</f>
        <v>15</v>
      </c>
      <c r="E27">
        <f>IF('2. Inputs and results'!$C$23&gt;='2. Inputs and results'!$B$23,'Solution  2, (hidden)'!B20,'Solution 1, (hidden)'!B20)</f>
        <v>15</v>
      </c>
      <c r="F27" s="31">
        <f>'Solution 1, (hidden)'!Z20</f>
        <v>-74377.77175361535</v>
      </c>
      <c r="G27" s="31">
        <f>'Solution  2, (hidden)'!Z20</f>
        <v>-110045.12283770749</v>
      </c>
      <c r="H27" s="31">
        <f>'Solution 1, (hidden)'!U20</f>
        <v>-44905.67498331808</v>
      </c>
      <c r="I27" s="31">
        <f>'Solution  2, (hidden)'!U20</f>
        <v>33042.065833666362</v>
      </c>
      <c r="J27" s="31">
        <f>'Solution 1, (hidden) (2)'!U20</f>
        <v>-7811.0308421878981</v>
      </c>
      <c r="K27" s="31">
        <f>'Solution  2, (hidden) (2)'!U20</f>
        <v>212448.58076644182</v>
      </c>
    </row>
    <row r="28" spans="3:11">
      <c r="C28">
        <f>'Solution 1, (hidden)'!B21</f>
        <v>16</v>
      </c>
      <c r="D28">
        <f>'Solution  2, (hidden)'!B21</f>
        <v>16</v>
      </c>
      <c r="E28">
        <f>IF('2. Inputs and results'!$C$23&gt;='2. Inputs and results'!$B$23,'Solution  2, (hidden)'!B21,'Solution 1, (hidden)'!B21)</f>
        <v>16</v>
      </c>
      <c r="F28" s="31">
        <f>'Solution 1, (hidden)'!Z21</f>
        <v>-69712.814604507366</v>
      </c>
      <c r="G28" s="31">
        <f>'Solution  2, (hidden)'!Z21</f>
        <v>-83189.541600709679</v>
      </c>
      <c r="H28" s="31">
        <f>'Solution 1, (hidden)'!U21</f>
        <v>-36355.505764711124</v>
      </c>
      <c r="I28" s="31">
        <f>'Solution  2, (hidden)'!U21</f>
        <v>76967.50991321</v>
      </c>
      <c r="J28" s="31">
        <f>'Solution 1, (hidden) (2)'!U21</f>
        <v>5870.1295812703738</v>
      </c>
      <c r="K28" s="31">
        <f>'Solution  2, (hidden) (2)'!U21</f>
        <v>282028.98087024206</v>
      </c>
    </row>
    <row r="29" spans="3:11">
      <c r="C29">
        <f>'Solution 1, (hidden)'!B22</f>
        <v>17</v>
      </c>
      <c r="D29">
        <f>'Solution  2, (hidden)'!B22</f>
        <v>17</v>
      </c>
      <c r="E29">
        <f>IF('2. Inputs and results'!$C$23&gt;='2. Inputs and results'!$B$23,'Solution  2, (hidden)'!B22,'Solution 1, (hidden)'!B22)</f>
        <v>17</v>
      </c>
      <c r="F29" s="31">
        <f>'Solution 1, (hidden)'!Z22</f>
        <v>-65137.568169805309</v>
      </c>
      <c r="G29" s="31">
        <f>'Solution  2, (hidden)'!Z22</f>
        <v>-57366.867334365641</v>
      </c>
      <c r="H29" s="31">
        <f>'Solution 1, (hidden)'!U22</f>
        <v>-27859.211508496675</v>
      </c>
      <c r="I29" s="31">
        <f>'Solution  2, (hidden)'!U22</f>
        <v>120578.40233515613</v>
      </c>
      <c r="J29" s="31">
        <f>'Solution 1, (hidden) (2)'!U22</f>
        <v>19871.065649983339</v>
      </c>
      <c r="K29" s="31">
        <f>'Solution  2, (hidden) (2)'!U22</f>
        <v>353163.08235468081</v>
      </c>
    </row>
    <row r="30" spans="3:11">
      <c r="C30">
        <f>'Solution 1, (hidden)'!B23</f>
        <v>18</v>
      </c>
      <c r="D30">
        <f>'Solution  2, (hidden)'!B23</f>
        <v>18</v>
      </c>
      <c r="E30">
        <f>IF('2. Inputs and results'!$C$23&gt;='2. Inputs and results'!$B$23,'Solution  2, (hidden)'!B23,'Solution 1, (hidden)'!B23)</f>
        <v>18</v>
      </c>
      <c r="F30" s="31">
        <f>'Solution 1, (hidden)'!Z23</f>
        <v>-60650.307243462899</v>
      </c>
      <c r="G30" s="31">
        <f>'Solution  2, (hidden)'!Z23</f>
        <v>-32537.372847496372</v>
      </c>
      <c r="H30" s="31">
        <f>'Solution 1, (hidden)'!U23</f>
        <v>-19417.364117081386</v>
      </c>
      <c r="I30" s="31">
        <f>'Solution  2, (hidden)'!U23</f>
        <v>163873.62115845748</v>
      </c>
      <c r="J30" s="31">
        <f>'Solution 1, (hidden) (2)'!U23</f>
        <v>34195.747033808126</v>
      </c>
      <c r="K30" s="31">
        <f>'Solution  2, (hidden) (2)'!U23</f>
        <v>425872.47114002972</v>
      </c>
    </row>
    <row r="31" spans="3:11">
      <c r="C31">
        <f>'Solution 1, (hidden)'!B24</f>
        <v>19</v>
      </c>
      <c r="D31">
        <f>'Solution  2, (hidden)'!B24</f>
        <v>19</v>
      </c>
      <c r="E31">
        <f>IF('2. Inputs and results'!$C$23&gt;='2. Inputs and results'!$B$23,'Solution  2, (hidden)'!B24,'Solution 1, (hidden)'!B24)</f>
        <v>19</v>
      </c>
      <c r="F31" s="31">
        <f>'Solution 1, (hidden)'!Z24</f>
        <v>-56249.339796473228</v>
      </c>
      <c r="G31" s="31">
        <f>'Solution  2, (hidden)'!Z24</f>
        <v>-8662.8589178143811</v>
      </c>
      <c r="H31" s="31">
        <f>'Solution 1, (hidden)'!U24</f>
        <v>-11030.488073391414</v>
      </c>
      <c r="I31" s="31">
        <f>'Solution  2, (hidden)'!U24</f>
        <v>206852.21470981589</v>
      </c>
      <c r="J31" s="31">
        <f>'Solution 1, (hidden) (2)'!U24</f>
        <v>48848.303583244589</v>
      </c>
      <c r="K31" s="31">
        <f>'Solution  2, (hidden) (2)'!U24</f>
        <v>500179.46722012066</v>
      </c>
    </row>
    <row r="32" spans="3:11">
      <c r="C32">
        <f>'Solution 1, (hidden)'!B25</f>
        <v>20</v>
      </c>
      <c r="D32">
        <f>'Solution  2, (hidden)'!B25</f>
        <v>20</v>
      </c>
      <c r="E32">
        <f>IF('2. Inputs and results'!$C$23&gt;='2. Inputs and results'!$B$23,'Solution  2, (hidden)'!B25,'Solution 1, (hidden)'!B25)</f>
        <v>20</v>
      </c>
      <c r="F32" s="31">
        <f>'Solution 1, (hidden)'!Z25</f>
        <v>-51933.006338848747</v>
      </c>
      <c r="G32" s="31">
        <f>'Solution  2, (hidden)'!Z25</f>
        <v>14293.404476110609</v>
      </c>
      <c r="H32" s="31">
        <f>'Solution 1, (hidden)'!U25</f>
        <v>-2699.0625091527654</v>
      </c>
      <c r="I32" s="31">
        <f>'Solution  2, (hidden)'!U25</f>
        <v>249513.39381265198</v>
      </c>
      <c r="J32" s="31">
        <f>'Solution 1, (hidden) (2)'!U25</f>
        <v>63833.025185184684</v>
      </c>
      <c r="K32" s="31">
        <f>'Solution  2, (hidden) (2)'!U25</f>
        <v>576107.12651146401</v>
      </c>
    </row>
    <row r="33" spans="3:11">
      <c r="C33" t="str">
        <f>'Solution 1, (hidden)'!B26</f>
        <v xml:space="preserve"> </v>
      </c>
      <c r="D33" t="str">
        <f>'Solution  2, (hidden)'!B26</f>
        <v xml:space="preserve"> </v>
      </c>
      <c r="E33" t="str">
        <f>IF('2. Inputs and results'!$C$23&gt;='2. Inputs and results'!$B$23,'Solution  2, (hidden)'!B26,'Solution 1, (hidden)'!B26)</f>
        <v xml:space="preserve"> </v>
      </c>
      <c r="F33" s="31" t="e">
        <f>'Solution 1, (hidden)'!Z26</f>
        <v>#N/A</v>
      </c>
      <c r="G33" s="31" t="e">
        <f>'Solution  2, (hidden)'!Z26</f>
        <v>#N/A</v>
      </c>
      <c r="H33" s="31" t="e">
        <f>'Solution 1, (hidden)'!U26</f>
        <v>#N/A</v>
      </c>
      <c r="I33" s="31" t="e">
        <f>'Solution  2, (hidden)'!U26</f>
        <v>#N/A</v>
      </c>
      <c r="J33" s="31" t="e">
        <f>'Solution 1, (hidden) (2)'!U26</f>
        <v>#N/A</v>
      </c>
      <c r="K33" s="31" t="e">
        <f>'Solution  2, (hidden) (2)'!U26</f>
        <v>#N/A</v>
      </c>
    </row>
    <row r="34" spans="3:11">
      <c r="C34" t="str">
        <f>'Solution 1, (hidden)'!B27</f>
        <v xml:space="preserve"> </v>
      </c>
      <c r="D34" t="str">
        <f>'Solution  2, (hidden)'!B27</f>
        <v xml:space="preserve"> </v>
      </c>
      <c r="E34" t="str">
        <f>IF('2. Inputs and results'!$C$23&gt;='2. Inputs and results'!$B$23,'Solution  2, (hidden)'!B27,'Solution 1, (hidden)'!B27)</f>
        <v xml:space="preserve"> </v>
      </c>
      <c r="F34" s="31" t="e">
        <f>'Solution 1, (hidden)'!Z27</f>
        <v>#N/A</v>
      </c>
      <c r="G34" s="31" t="e">
        <f>'Solution  2, (hidden)'!Z27</f>
        <v>#N/A</v>
      </c>
      <c r="H34" s="31" t="e">
        <f>'Solution 1, (hidden)'!U27</f>
        <v>#N/A</v>
      </c>
      <c r="I34" s="31" t="e">
        <f>'Solution  2, (hidden)'!U27</f>
        <v>#N/A</v>
      </c>
      <c r="J34" s="31" t="e">
        <f>'Solution 1, (hidden) (2)'!U27</f>
        <v>#N/A</v>
      </c>
      <c r="K34" s="31" t="e">
        <f>'Solution  2, (hidden) (2)'!U27</f>
        <v>#N/A</v>
      </c>
    </row>
    <row r="35" spans="3:11">
      <c r="C35" t="str">
        <f>'Solution 1, (hidden)'!B28</f>
        <v xml:space="preserve"> </v>
      </c>
      <c r="D35" t="str">
        <f>'Solution  2, (hidden)'!B28</f>
        <v xml:space="preserve"> </v>
      </c>
      <c r="E35" t="str">
        <f>IF('2. Inputs and results'!$C$23&gt;='2. Inputs and results'!$B$23,'Solution  2, (hidden)'!B28,'Solution 1, (hidden)'!B28)</f>
        <v xml:space="preserve"> </v>
      </c>
      <c r="F35" s="31" t="e">
        <f>'Solution 1, (hidden)'!Z28</f>
        <v>#N/A</v>
      </c>
      <c r="G35" s="31" t="e">
        <f>'Solution  2, (hidden)'!Z28</f>
        <v>#N/A</v>
      </c>
      <c r="H35" s="31" t="e">
        <f>'Solution 1, (hidden)'!U28</f>
        <v>#N/A</v>
      </c>
      <c r="I35" s="31" t="e">
        <f>'Solution  2, (hidden)'!U28</f>
        <v>#N/A</v>
      </c>
      <c r="J35" s="31" t="e">
        <f>'Solution 1, (hidden) (2)'!U28</f>
        <v>#N/A</v>
      </c>
      <c r="K35" s="31" t="e">
        <f>'Solution  2, (hidden) (2)'!U28</f>
        <v>#N/A</v>
      </c>
    </row>
    <row r="36" spans="3:11">
      <c r="C36" t="str">
        <f>'Solution 1, (hidden)'!B29</f>
        <v xml:space="preserve"> </v>
      </c>
      <c r="D36" t="str">
        <f>'Solution  2, (hidden)'!B29</f>
        <v xml:space="preserve"> </v>
      </c>
      <c r="E36" t="str">
        <f>IF('2. Inputs and results'!$C$23&gt;='2. Inputs and results'!$B$23,'Solution  2, (hidden)'!B29,'Solution 1, (hidden)'!B29)</f>
        <v xml:space="preserve"> </v>
      </c>
      <c r="F36" s="31" t="e">
        <f>'Solution 1, (hidden)'!Z29</f>
        <v>#N/A</v>
      </c>
      <c r="G36" s="31" t="e">
        <f>'Solution  2, (hidden)'!Z29</f>
        <v>#N/A</v>
      </c>
      <c r="H36" s="31" t="e">
        <f>'Solution 1, (hidden)'!U29</f>
        <v>#N/A</v>
      </c>
      <c r="I36" s="31" t="e">
        <f>'Solution  2, (hidden)'!U29</f>
        <v>#N/A</v>
      </c>
      <c r="J36" s="31" t="e">
        <f>'Solution 1, (hidden) (2)'!U29</f>
        <v>#N/A</v>
      </c>
      <c r="K36" s="31" t="e">
        <f>'Solution  2, (hidden) (2)'!U29</f>
        <v>#N/A</v>
      </c>
    </row>
    <row r="37" spans="3:11">
      <c r="C37" t="str">
        <f>'Solution 1, (hidden)'!B30</f>
        <v xml:space="preserve"> </v>
      </c>
      <c r="D37" t="str">
        <f>'Solution  2, (hidden)'!B30</f>
        <v xml:space="preserve"> </v>
      </c>
      <c r="E37" t="str">
        <f>IF('2. Inputs and results'!$C$23&gt;='2. Inputs and results'!$B$23,'Solution  2, (hidden)'!B30,'Solution 1, (hidden)'!B30)</f>
        <v xml:space="preserve"> </v>
      </c>
      <c r="F37" s="31" t="e">
        <f>'Solution 1, (hidden)'!Z30</f>
        <v>#N/A</v>
      </c>
      <c r="G37" s="31" t="e">
        <f>'Solution  2, (hidden)'!Z30</f>
        <v>#N/A</v>
      </c>
      <c r="H37" s="31" t="e">
        <f>'Solution 1, (hidden)'!U30</f>
        <v>#N/A</v>
      </c>
      <c r="I37" s="31" t="e">
        <f>'Solution  2, (hidden)'!U30</f>
        <v>#N/A</v>
      </c>
      <c r="J37" s="31" t="e">
        <f>'Solution 1, (hidden) (2)'!U30</f>
        <v>#N/A</v>
      </c>
      <c r="K37" s="31" t="e">
        <f>'Solution  2, (hidden) (2)'!U30</f>
        <v>#N/A</v>
      </c>
    </row>
    <row r="38" spans="3:11">
      <c r="C38" t="str">
        <f>'Solution 1, (hidden)'!B31</f>
        <v xml:space="preserve"> </v>
      </c>
      <c r="D38" t="str">
        <f>'Solution  2, (hidden)'!B31</f>
        <v xml:space="preserve"> </v>
      </c>
      <c r="E38" t="str">
        <f>IF('2. Inputs and results'!$C$23&gt;='2. Inputs and results'!$B$23,'Solution  2, (hidden)'!B31,'Solution 1, (hidden)'!B31)</f>
        <v xml:space="preserve"> </v>
      </c>
      <c r="F38" s="31" t="e">
        <f>'Solution 1, (hidden)'!Z31</f>
        <v>#N/A</v>
      </c>
      <c r="G38" s="31" t="e">
        <f>'Solution  2, (hidden)'!Z31</f>
        <v>#N/A</v>
      </c>
      <c r="H38" s="31" t="e">
        <f>'Solution 1, (hidden)'!U31</f>
        <v>#N/A</v>
      </c>
      <c r="I38" s="31" t="e">
        <f>'Solution  2, (hidden)'!U31</f>
        <v>#N/A</v>
      </c>
      <c r="J38" s="31" t="e">
        <f>'Solution 1, (hidden) (2)'!U31</f>
        <v>#N/A</v>
      </c>
      <c r="K38" s="31" t="e">
        <f>'Solution  2, (hidden) (2)'!U31</f>
        <v>#N/A</v>
      </c>
    </row>
    <row r="39" spans="3:11">
      <c r="C39" t="str">
        <f>'Solution 1, (hidden)'!B32</f>
        <v xml:space="preserve"> </v>
      </c>
      <c r="D39" t="str">
        <f>'Solution  2, (hidden)'!B32</f>
        <v xml:space="preserve"> </v>
      </c>
      <c r="E39" t="str">
        <f>IF('2. Inputs and results'!$C$23&gt;='2. Inputs and results'!$B$23,'Solution  2, (hidden)'!B32,'Solution 1, (hidden)'!B32)</f>
        <v xml:space="preserve"> </v>
      </c>
      <c r="F39" s="31" t="e">
        <f>'Solution 1, (hidden)'!Z32</f>
        <v>#N/A</v>
      </c>
      <c r="G39" s="31" t="e">
        <f>'Solution  2, (hidden)'!Z32</f>
        <v>#N/A</v>
      </c>
      <c r="H39" s="31" t="e">
        <f>'Solution 1, (hidden)'!U32</f>
        <v>#N/A</v>
      </c>
      <c r="I39" s="31" t="e">
        <f>'Solution  2, (hidden)'!U32</f>
        <v>#N/A</v>
      </c>
      <c r="J39" s="31" t="e">
        <f>'Solution 1, (hidden) (2)'!U32</f>
        <v>#N/A</v>
      </c>
      <c r="K39" s="31" t="e">
        <f>'Solution  2, (hidden) (2)'!U32</f>
        <v>#N/A</v>
      </c>
    </row>
    <row r="40" spans="3:11">
      <c r="C40" t="str">
        <f>'Solution 1, (hidden)'!B33</f>
        <v xml:space="preserve"> </v>
      </c>
      <c r="D40" t="str">
        <f>'Solution  2, (hidden)'!B33</f>
        <v xml:space="preserve"> </v>
      </c>
      <c r="E40" t="str">
        <f>IF('2. Inputs and results'!$C$23&gt;='2. Inputs and results'!$B$23,'Solution  2, (hidden)'!B33,'Solution 1, (hidden)'!B33)</f>
        <v xml:space="preserve"> </v>
      </c>
      <c r="F40" s="31" t="e">
        <f>'Solution 1, (hidden)'!Z33</f>
        <v>#N/A</v>
      </c>
      <c r="G40" s="31" t="e">
        <f>'Solution  2, (hidden)'!Z33</f>
        <v>#N/A</v>
      </c>
      <c r="H40" s="31" t="e">
        <f>'Solution 1, (hidden)'!U33</f>
        <v>#N/A</v>
      </c>
      <c r="I40" s="31" t="e">
        <f>'Solution  2, (hidden)'!U33</f>
        <v>#N/A</v>
      </c>
      <c r="J40" s="31" t="e">
        <f>'Solution 1, (hidden) (2)'!U33</f>
        <v>#N/A</v>
      </c>
      <c r="K40" s="31" t="e">
        <f>'Solution  2, (hidden) (2)'!U33</f>
        <v>#N/A</v>
      </c>
    </row>
    <row r="41" spans="3:11">
      <c r="C41" t="str">
        <f>'Solution 1, (hidden)'!B34</f>
        <v xml:space="preserve"> </v>
      </c>
      <c r="D41" t="str">
        <f>'Solution  2, (hidden)'!B34</f>
        <v xml:space="preserve"> </v>
      </c>
      <c r="E41" t="str">
        <f>IF('2. Inputs and results'!$C$23&gt;='2. Inputs and results'!$B$23,'Solution  2, (hidden)'!B34,'Solution 1, (hidden)'!B34)</f>
        <v xml:space="preserve"> </v>
      </c>
      <c r="F41" s="31" t="e">
        <f>'Solution 1, (hidden)'!Z34</f>
        <v>#N/A</v>
      </c>
      <c r="G41" s="31" t="e">
        <f>'Solution  2, (hidden)'!Z34</f>
        <v>#N/A</v>
      </c>
      <c r="H41" s="31" t="e">
        <f>'Solution 1, (hidden)'!U34</f>
        <v>#N/A</v>
      </c>
      <c r="I41" s="31" t="e">
        <f>'Solution  2, (hidden)'!U34</f>
        <v>#N/A</v>
      </c>
      <c r="J41" s="31" t="e">
        <f>'Solution 1, (hidden) (2)'!U34</f>
        <v>#N/A</v>
      </c>
      <c r="K41" s="31" t="e">
        <f>'Solution  2, (hidden) (2)'!U34</f>
        <v>#N/A</v>
      </c>
    </row>
    <row r="42" spans="3:11">
      <c r="C42" t="str">
        <f>'Solution 1, (hidden)'!B35</f>
        <v xml:space="preserve"> </v>
      </c>
      <c r="D42" t="str">
        <f>'Solution  2, (hidden)'!B35</f>
        <v xml:space="preserve"> </v>
      </c>
      <c r="E42" t="str">
        <f>IF('2. Inputs and results'!$C$23&gt;='2. Inputs and results'!$B$23,'Solution  2, (hidden)'!B35,'Solution 1, (hidden)'!B35)</f>
        <v xml:space="preserve"> </v>
      </c>
      <c r="F42" s="31" t="e">
        <f>'Solution 1, (hidden)'!Z35</f>
        <v>#N/A</v>
      </c>
      <c r="G42" s="31" t="e">
        <f>'Solution  2, (hidden)'!Z35</f>
        <v>#N/A</v>
      </c>
      <c r="H42" s="31" t="e">
        <f>'Solution 1, (hidden)'!U35</f>
        <v>#N/A</v>
      </c>
      <c r="I42" s="31" t="e">
        <f>'Solution  2, (hidden)'!U35</f>
        <v>#N/A</v>
      </c>
      <c r="J42" s="31" t="e">
        <f>'Solution 1, (hidden) (2)'!U35</f>
        <v>#N/A</v>
      </c>
      <c r="K42" s="31" t="e">
        <f>'Solution  2, (hidden) (2)'!U35</f>
        <v>#N/A</v>
      </c>
    </row>
    <row r="43" spans="3:11">
      <c r="C43" t="str">
        <f>'Solution 1, (hidden)'!B36</f>
        <v xml:space="preserve"> </v>
      </c>
      <c r="D43" t="str">
        <f>'Solution  2, (hidden)'!B36</f>
        <v xml:space="preserve"> </v>
      </c>
      <c r="E43" t="str">
        <f>IF('2. Inputs and results'!$C$23&gt;='2. Inputs and results'!$B$23,'Solution  2, (hidden)'!B36,'Solution 1, (hidden)'!B36)</f>
        <v xml:space="preserve"> </v>
      </c>
      <c r="F43" s="34" t="e">
        <f>'Solution 1, (hidden)'!Z36</f>
        <v>#N/A</v>
      </c>
      <c r="G43" s="34" t="e">
        <f>'Solution  2, (hidden)'!Z36</f>
        <v>#N/A</v>
      </c>
      <c r="H43" s="34" t="e">
        <f>'Solution 1, (hidden)'!U36</f>
        <v>#N/A</v>
      </c>
      <c r="I43" s="34" t="e">
        <f>'Solution  2, (hidden)'!U36</f>
        <v>#N/A</v>
      </c>
      <c r="J43" s="31" t="e">
        <f>'Solution 1, (hidden) (2)'!U36</f>
        <v>#N/A</v>
      </c>
      <c r="K43" s="31" t="e">
        <f>'Solution  2, (hidden) (2)'!U36</f>
        <v>#N/A</v>
      </c>
    </row>
    <row r="44" spans="3:11">
      <c r="C44" t="str">
        <f>'Solution 1, (hidden)'!B37</f>
        <v xml:space="preserve"> </v>
      </c>
      <c r="D44" t="str">
        <f>'Solution  2, (hidden)'!B37</f>
        <v xml:space="preserve"> </v>
      </c>
      <c r="E44" t="str">
        <f>IF('2. Inputs and results'!$C$23&gt;='2. Inputs and results'!$B$23,'Solution  2, (hidden)'!B37,'Solution 1, (hidden)'!B37)</f>
        <v xml:space="preserve"> </v>
      </c>
      <c r="F44" s="34" t="e">
        <f>'Solution 1, (hidden)'!Z37</f>
        <v>#N/A</v>
      </c>
      <c r="G44" s="34" t="e">
        <f>'Solution  2, (hidden)'!Z37</f>
        <v>#N/A</v>
      </c>
      <c r="H44" s="34" t="e">
        <f>'Solution 1, (hidden)'!U37</f>
        <v>#N/A</v>
      </c>
      <c r="I44" s="34" t="e">
        <f>'Solution  2, (hidden)'!U37</f>
        <v>#N/A</v>
      </c>
      <c r="J44" s="31" t="e">
        <f>'Solution 1, (hidden) (2)'!U37</f>
        <v>#N/A</v>
      </c>
      <c r="K44" s="31" t="e">
        <f>'Solution  2, (hidden) (2)'!U37</f>
        <v>#N/A</v>
      </c>
    </row>
    <row r="45" spans="3:11">
      <c r="C45" t="str">
        <f>'Solution 1, (hidden)'!B38</f>
        <v xml:space="preserve"> </v>
      </c>
      <c r="D45" t="str">
        <f>'Solution  2, (hidden)'!B38</f>
        <v xml:space="preserve"> </v>
      </c>
      <c r="E45" t="str">
        <f>IF('2. Inputs and results'!$C$23&gt;='2. Inputs and results'!$B$23,'Solution  2, (hidden)'!B38,'Solution 1, (hidden)'!B38)</f>
        <v xml:space="preserve"> </v>
      </c>
      <c r="F45" s="34" t="e">
        <f>'Solution 1, (hidden)'!Z38</f>
        <v>#N/A</v>
      </c>
      <c r="G45" s="34" t="e">
        <f>'Solution  2, (hidden)'!Z38</f>
        <v>#N/A</v>
      </c>
      <c r="H45" s="34" t="e">
        <f>'Solution 1, (hidden)'!U38</f>
        <v>#N/A</v>
      </c>
      <c r="I45" s="34" t="e">
        <f>'Solution  2, (hidden)'!U38</f>
        <v>#N/A</v>
      </c>
      <c r="J45" s="31" t="e">
        <f>'Solution 1, (hidden) (2)'!U38</f>
        <v>#N/A</v>
      </c>
      <c r="K45" s="31" t="e">
        <f>'Solution  2, (hidden) (2)'!U38</f>
        <v>#N/A</v>
      </c>
    </row>
    <row r="46" spans="3:11">
      <c r="C46" t="str">
        <f>'Solution 1, (hidden)'!B39</f>
        <v xml:space="preserve"> </v>
      </c>
      <c r="D46" t="str">
        <f>'Solution  2, (hidden)'!B39</f>
        <v xml:space="preserve"> </v>
      </c>
      <c r="E46" t="str">
        <f>IF('2. Inputs and results'!$C$23&gt;='2. Inputs and results'!$B$23,'Solution  2, (hidden)'!B39,'Solution 1, (hidden)'!B39)</f>
        <v xml:space="preserve"> </v>
      </c>
      <c r="F46" s="34" t="e">
        <f>'Solution 1, (hidden)'!Z39</f>
        <v>#N/A</v>
      </c>
      <c r="G46" s="34" t="e">
        <f>'Solution  2, (hidden)'!Z39</f>
        <v>#N/A</v>
      </c>
      <c r="H46" s="34" t="e">
        <f>'Solution 1, (hidden)'!U39</f>
        <v>#N/A</v>
      </c>
      <c r="I46" s="34" t="e">
        <f>'Solution  2, (hidden)'!U39</f>
        <v>#N/A</v>
      </c>
      <c r="J46" s="31" t="e">
        <f>'Solution 1, (hidden) (2)'!U39</f>
        <v>#N/A</v>
      </c>
      <c r="K46" s="31" t="e">
        <f>'Solution  2, (hidden) (2)'!U39</f>
        <v>#N/A</v>
      </c>
    </row>
    <row r="47" spans="3:11">
      <c r="C47" t="str">
        <f>'Solution 1, (hidden)'!B40</f>
        <v xml:space="preserve"> </v>
      </c>
      <c r="D47" t="str">
        <f>'Solution  2, (hidden)'!B40</f>
        <v xml:space="preserve"> </v>
      </c>
      <c r="E47" t="str">
        <f>IF('2. Inputs and results'!$C$23&gt;='2. Inputs and results'!$B$23,'Solution  2, (hidden)'!B40,'Solution 1, (hidden)'!B40)</f>
        <v xml:space="preserve"> </v>
      </c>
      <c r="F47" s="34" t="e">
        <f>'Solution 1, (hidden)'!Z40</f>
        <v>#N/A</v>
      </c>
      <c r="G47" s="34" t="e">
        <f>'Solution  2, (hidden)'!Z40</f>
        <v>#N/A</v>
      </c>
      <c r="H47" s="34" t="e">
        <f>'Solution 1, (hidden)'!U40</f>
        <v>#N/A</v>
      </c>
      <c r="I47" s="34" t="e">
        <f>'Solution  2, (hidden)'!U40</f>
        <v>#N/A</v>
      </c>
      <c r="J47" s="31" t="e">
        <f>'Solution 1, (hidden) (2)'!U40</f>
        <v>#N/A</v>
      </c>
      <c r="K47" s="31" t="e">
        <f>'Solution  2, (hidden) (2)'!U40</f>
        <v>#N/A</v>
      </c>
    </row>
    <row r="48" spans="3:11">
      <c r="C48" t="str">
        <f>'Solution 1, (hidden)'!B41</f>
        <v xml:space="preserve"> </v>
      </c>
      <c r="D48" t="str">
        <f>'Solution  2, (hidden)'!B41</f>
        <v xml:space="preserve"> </v>
      </c>
      <c r="E48" t="str">
        <f>IF('2. Inputs and results'!$C$23&gt;='2. Inputs and results'!$B$23,'Solution  2, (hidden)'!B41,'Solution 1, (hidden)'!B41)</f>
        <v xml:space="preserve"> </v>
      </c>
      <c r="F48" s="34" t="e">
        <f>'Solution 1, (hidden)'!Z41</f>
        <v>#N/A</v>
      </c>
      <c r="G48" s="34" t="e">
        <f>'Solution  2, (hidden)'!Z41</f>
        <v>#N/A</v>
      </c>
      <c r="H48" s="34" t="e">
        <f>'Solution 1, (hidden)'!U41</f>
        <v>#N/A</v>
      </c>
      <c r="I48" s="34" t="e">
        <f>'Solution  2, (hidden)'!U41</f>
        <v>#N/A</v>
      </c>
      <c r="J48" s="31" t="e">
        <f>'Solution 1, (hidden) (2)'!U41</f>
        <v>#N/A</v>
      </c>
      <c r="K48" s="31" t="e">
        <f>'Solution  2, (hidden) (2)'!U41</f>
        <v>#N/A</v>
      </c>
    </row>
    <row r="49" spans="3:11">
      <c r="C49" t="str">
        <f>'Solution 1, (hidden)'!B42</f>
        <v xml:space="preserve"> </v>
      </c>
      <c r="D49" t="str">
        <f>'Solution  2, (hidden)'!B42</f>
        <v xml:space="preserve"> </v>
      </c>
      <c r="E49" t="str">
        <f>IF('2. Inputs and results'!$C$23&gt;='2. Inputs and results'!$B$23,'Solution  2, (hidden)'!B42,'Solution 1, (hidden)'!B42)</f>
        <v xml:space="preserve"> </v>
      </c>
      <c r="F49" s="34" t="e">
        <f>'Solution 1, (hidden)'!Z42</f>
        <v>#N/A</v>
      </c>
      <c r="G49" s="34" t="e">
        <f>'Solution  2, (hidden)'!Z42</f>
        <v>#N/A</v>
      </c>
      <c r="H49" s="34" t="e">
        <f>'Solution 1, (hidden)'!U42</f>
        <v>#N/A</v>
      </c>
      <c r="I49" s="34" t="e">
        <f>'Solution  2, (hidden)'!U42</f>
        <v>#N/A</v>
      </c>
      <c r="J49" s="31" t="e">
        <f>'Solution 1, (hidden) (2)'!U42</f>
        <v>#N/A</v>
      </c>
      <c r="K49" s="31" t="e">
        <f>'Solution  2, (hidden) (2)'!U42</f>
        <v>#N/A</v>
      </c>
    </row>
    <row r="50" spans="3:11">
      <c r="C50" t="str">
        <f>'Solution 1, (hidden)'!B43</f>
        <v xml:space="preserve"> </v>
      </c>
      <c r="D50" t="str">
        <f>'Solution  2, (hidden)'!B43</f>
        <v xml:space="preserve"> </v>
      </c>
      <c r="E50" t="str">
        <f>IF('2. Inputs and results'!$C$23&gt;='2. Inputs and results'!$B$23,'Solution  2, (hidden)'!B43,'Solution 1, (hidden)'!B43)</f>
        <v xml:space="preserve"> </v>
      </c>
      <c r="F50" s="34" t="e">
        <f>'Solution 1, (hidden)'!Z43</f>
        <v>#N/A</v>
      </c>
      <c r="G50" s="34" t="e">
        <f>'Solution  2, (hidden)'!Z43</f>
        <v>#N/A</v>
      </c>
      <c r="H50" s="34" t="e">
        <f>'Solution 1, (hidden)'!U43</f>
        <v>#N/A</v>
      </c>
      <c r="I50" s="34" t="e">
        <f>'Solution  2, (hidden)'!U43</f>
        <v>#N/A</v>
      </c>
      <c r="J50" s="31" t="e">
        <f>'Solution 1, (hidden) (2)'!U43</f>
        <v>#N/A</v>
      </c>
      <c r="K50" s="31" t="e">
        <f>'Solution  2, (hidden) (2)'!U43</f>
        <v>#N/A</v>
      </c>
    </row>
    <row r="51" spans="3:11">
      <c r="C51" t="str">
        <f>'Solution 1, (hidden)'!B44</f>
        <v xml:space="preserve"> </v>
      </c>
      <c r="D51" t="str">
        <f>'Solution  2, (hidden)'!B44</f>
        <v xml:space="preserve"> </v>
      </c>
      <c r="E51" t="str">
        <f>IF('2. Inputs and results'!$C$23&gt;='2. Inputs and results'!$B$23,'Solution  2, (hidden)'!B44,'Solution 1, (hidden)'!B44)</f>
        <v xml:space="preserve"> </v>
      </c>
      <c r="F51" s="34" t="e">
        <f>'Solution 1, (hidden)'!Z44</f>
        <v>#N/A</v>
      </c>
      <c r="G51" s="34" t="e">
        <f>'Solution  2, (hidden)'!Z44</f>
        <v>#N/A</v>
      </c>
      <c r="H51" s="34" t="e">
        <f>'Solution 1, (hidden)'!U44</f>
        <v>#N/A</v>
      </c>
      <c r="I51" s="34" t="e">
        <f>'Solution  2, (hidden)'!U44</f>
        <v>#N/A</v>
      </c>
      <c r="J51" s="31" t="e">
        <f>'Solution 1, (hidden) (2)'!U44</f>
        <v>#N/A</v>
      </c>
      <c r="K51" s="31" t="e">
        <f>'Solution  2, (hidden) (2)'!U44</f>
        <v>#N/A</v>
      </c>
    </row>
    <row r="52" spans="3:11">
      <c r="C52" t="str">
        <f>'Solution 1, (hidden)'!B45</f>
        <v xml:space="preserve"> </v>
      </c>
      <c r="D52" t="str">
        <f>'Solution  2, (hidden)'!B45</f>
        <v xml:space="preserve"> </v>
      </c>
      <c r="E52" t="str">
        <f>IF('2. Inputs and results'!$C$23&gt;='2. Inputs and results'!$B$23,'Solution  2, (hidden)'!B45,'Solution 1, (hidden)'!B45)</f>
        <v xml:space="preserve"> </v>
      </c>
      <c r="F52" s="34" t="e">
        <f>'Solution 1, (hidden)'!Z45</f>
        <v>#N/A</v>
      </c>
      <c r="G52" s="34" t="e">
        <f>'Solution  2, (hidden)'!Z45</f>
        <v>#N/A</v>
      </c>
      <c r="H52" s="34" t="e">
        <f>'Solution 1, (hidden)'!U45</f>
        <v>#N/A</v>
      </c>
      <c r="I52" s="34" t="e">
        <f>'Solution  2, (hidden)'!U45</f>
        <v>#N/A</v>
      </c>
      <c r="J52" s="31" t="e">
        <f>'Solution 1, (hidden) (2)'!U45</f>
        <v>#N/A</v>
      </c>
      <c r="K52" s="31" t="e">
        <f>'Solution  2, (hidden) (2)'!U45</f>
        <v>#N/A</v>
      </c>
    </row>
    <row r="53" spans="3:11">
      <c r="C53" t="str">
        <f>'Solution 1, (hidden)'!B46</f>
        <v xml:space="preserve"> </v>
      </c>
      <c r="D53" t="str">
        <f>'Solution  2, (hidden)'!B46</f>
        <v xml:space="preserve"> </v>
      </c>
      <c r="E53" t="str">
        <f>IF('2. Inputs and results'!$C$23&gt;='2. Inputs and results'!$B$23,'Solution  2, (hidden)'!B46,'Solution 1, (hidden)'!B46)</f>
        <v xml:space="preserve"> </v>
      </c>
      <c r="F53" s="34" t="e">
        <f>'Solution 1, (hidden)'!Z46</f>
        <v>#N/A</v>
      </c>
      <c r="G53" s="34" t="e">
        <f>'Solution  2, (hidden)'!Z46</f>
        <v>#N/A</v>
      </c>
      <c r="H53" s="34" t="e">
        <f>'Solution 1, (hidden)'!U46</f>
        <v>#N/A</v>
      </c>
      <c r="I53" s="34" t="e">
        <f>'Solution  2, (hidden)'!U46</f>
        <v>#N/A</v>
      </c>
      <c r="J53" s="31" t="e">
        <f>'Solution 1, (hidden) (2)'!U46</f>
        <v>#N/A</v>
      </c>
      <c r="K53" s="31" t="e">
        <f>'Solution  2, (hidden) (2)'!U46</f>
        <v>#N/A</v>
      </c>
    </row>
    <row r="54" spans="3:11">
      <c r="C54" t="str">
        <f>'Solution 1, (hidden)'!B47</f>
        <v xml:space="preserve"> </v>
      </c>
      <c r="D54" t="str">
        <f>'Solution  2, (hidden)'!B47</f>
        <v xml:space="preserve"> </v>
      </c>
      <c r="E54" t="str">
        <f>IF('2. Inputs and results'!$C$23&gt;='2. Inputs and results'!$B$23,'Solution  2, (hidden)'!B47,'Solution 1, (hidden)'!B47)</f>
        <v xml:space="preserve"> </v>
      </c>
      <c r="F54" s="34" t="e">
        <f>'Solution 1, (hidden)'!Z47</f>
        <v>#N/A</v>
      </c>
      <c r="G54" s="34" t="e">
        <f>'Solution  2, (hidden)'!Z47</f>
        <v>#N/A</v>
      </c>
      <c r="H54" s="34" t="e">
        <f>'Solution 1, (hidden)'!U47</f>
        <v>#N/A</v>
      </c>
      <c r="I54" s="34" t="e">
        <f>'Solution  2, (hidden)'!U47</f>
        <v>#N/A</v>
      </c>
      <c r="J54" s="31" t="e">
        <f>'Solution 1, (hidden) (2)'!U47</f>
        <v>#N/A</v>
      </c>
      <c r="K54" s="31" t="e">
        <f>'Solution  2, (hidden) (2)'!U47</f>
        <v>#N/A</v>
      </c>
    </row>
    <row r="55" spans="3:11">
      <c r="C55" t="str">
        <f>'Solution 1, (hidden)'!B48</f>
        <v xml:space="preserve"> </v>
      </c>
      <c r="D55" t="str">
        <f>'Solution  2, (hidden)'!B48</f>
        <v xml:space="preserve"> </v>
      </c>
      <c r="E55" t="str">
        <f>IF('2. Inputs and results'!$C$23&gt;='2. Inputs and results'!$B$23,'Solution  2, (hidden)'!B48,'Solution 1, (hidden)'!B48)</f>
        <v xml:space="preserve"> </v>
      </c>
      <c r="F55" s="34" t="e">
        <f>'Solution 1, (hidden)'!Z48</f>
        <v>#N/A</v>
      </c>
      <c r="G55" s="34" t="e">
        <f>'Solution  2, (hidden)'!Z48</f>
        <v>#N/A</v>
      </c>
      <c r="H55" s="34" t="e">
        <f>'Solution 1, (hidden)'!U48</f>
        <v>#N/A</v>
      </c>
      <c r="I55" s="34" t="e">
        <f>'Solution  2, (hidden)'!U48</f>
        <v>#N/A</v>
      </c>
      <c r="J55" s="31" t="e">
        <f>'Solution 1, (hidden) (2)'!U48</f>
        <v>#N/A</v>
      </c>
      <c r="K55" s="31" t="e">
        <f>'Solution  2, (hidden) (2)'!U48</f>
        <v>#N/A</v>
      </c>
    </row>
    <row r="56" spans="3:11">
      <c r="C56" t="str">
        <f>'Solution 1, (hidden)'!B49</f>
        <v xml:space="preserve"> </v>
      </c>
      <c r="D56" t="str">
        <f>'Solution  2, (hidden)'!B49</f>
        <v xml:space="preserve"> </v>
      </c>
      <c r="E56" t="str">
        <f>IF('2. Inputs and results'!$C$23&gt;='2. Inputs and results'!$B$23,'Solution  2, (hidden)'!B49,'Solution 1, (hidden)'!B49)</f>
        <v xml:space="preserve"> </v>
      </c>
      <c r="F56" s="34" t="e">
        <f>'Solution 1, (hidden)'!Z49</f>
        <v>#N/A</v>
      </c>
      <c r="G56" s="34" t="e">
        <f>'Solution  2, (hidden)'!Z49</f>
        <v>#N/A</v>
      </c>
      <c r="H56" s="34" t="e">
        <f>'Solution 1, (hidden)'!U49</f>
        <v>#N/A</v>
      </c>
      <c r="I56" s="34" t="e">
        <f>'Solution  2, (hidden)'!U49</f>
        <v>#N/A</v>
      </c>
      <c r="J56" s="31" t="e">
        <f>'Solution 1, (hidden) (2)'!U49</f>
        <v>#N/A</v>
      </c>
      <c r="K56" s="31" t="e">
        <f>'Solution  2, (hidden) (2)'!U49</f>
        <v>#N/A</v>
      </c>
    </row>
    <row r="57" spans="3:11">
      <c r="C57" t="str">
        <f>'Solution 1, (hidden)'!B50</f>
        <v xml:space="preserve"> </v>
      </c>
      <c r="D57" t="str">
        <f>'Solution  2, (hidden)'!B50</f>
        <v xml:space="preserve"> </v>
      </c>
      <c r="E57" t="str">
        <f>IF('2. Inputs and results'!$C$23&gt;='2. Inputs and results'!$B$23,'Solution  2, (hidden)'!B50,'Solution 1, (hidden)'!B50)</f>
        <v xml:space="preserve"> </v>
      </c>
      <c r="F57" s="34" t="e">
        <f>'Solution 1, (hidden)'!Z50</f>
        <v>#N/A</v>
      </c>
      <c r="G57" s="34" t="e">
        <f>'Solution  2, (hidden)'!Z50</f>
        <v>#N/A</v>
      </c>
      <c r="H57" s="34" t="e">
        <f>'Solution 1, (hidden)'!U50</f>
        <v>#N/A</v>
      </c>
      <c r="I57" s="34" t="e">
        <f>'Solution  2, (hidden)'!U50</f>
        <v>#N/A</v>
      </c>
      <c r="J57" s="31" t="e">
        <f>'Solution 1, (hidden) (2)'!U50</f>
        <v>#N/A</v>
      </c>
      <c r="K57" s="31" t="e">
        <f>'Solution  2, (hidden) (2)'!U50</f>
        <v>#N/A</v>
      </c>
    </row>
    <row r="58" spans="3:11">
      <c r="C58" t="str">
        <f>'Solution 1, (hidden)'!B51</f>
        <v xml:space="preserve"> </v>
      </c>
      <c r="D58" t="str">
        <f>'Solution  2, (hidden)'!B51</f>
        <v xml:space="preserve"> </v>
      </c>
      <c r="E58" t="str">
        <f>IF('2. Inputs and results'!$C$23&gt;='2. Inputs and results'!$B$23,'Solution  2, (hidden)'!B51,'Solution 1, (hidden)'!B51)</f>
        <v xml:space="preserve"> </v>
      </c>
      <c r="F58" s="34" t="e">
        <f>'Solution 1, (hidden)'!Z51</f>
        <v>#N/A</v>
      </c>
      <c r="G58" s="34" t="e">
        <f>'Solution  2, (hidden)'!Z51</f>
        <v>#N/A</v>
      </c>
      <c r="H58" s="34" t="e">
        <f>'Solution 1, (hidden)'!U51</f>
        <v>#N/A</v>
      </c>
      <c r="I58" s="34" t="e">
        <f>'Solution  2, (hidden)'!U51</f>
        <v>#N/A</v>
      </c>
      <c r="J58" s="31" t="e">
        <f>'Solution 1, (hidden) (2)'!U51</f>
        <v>#N/A</v>
      </c>
      <c r="K58" s="31" t="e">
        <f>'Solution  2, (hidden) (2)'!U51</f>
        <v>#N/A</v>
      </c>
    </row>
    <row r="59" spans="3:11">
      <c r="C59" t="str">
        <f>'Solution 1, (hidden)'!B52</f>
        <v xml:space="preserve"> </v>
      </c>
      <c r="D59" t="str">
        <f>'Solution  2, (hidden)'!B52</f>
        <v xml:space="preserve"> </v>
      </c>
      <c r="E59" t="str">
        <f>IF('2. Inputs and results'!$C$23&gt;='2. Inputs and results'!$B$23,'Solution  2, (hidden)'!B52,'Solution 1, (hidden)'!B52)</f>
        <v xml:space="preserve"> </v>
      </c>
      <c r="F59" s="34" t="e">
        <f>'Solution 1, (hidden)'!Z52</f>
        <v>#N/A</v>
      </c>
      <c r="G59" s="34" t="e">
        <f>'Solution  2, (hidden)'!Z52</f>
        <v>#N/A</v>
      </c>
      <c r="H59" s="34" t="e">
        <f>'Solution 1, (hidden)'!U52</f>
        <v>#N/A</v>
      </c>
      <c r="I59" s="34" t="e">
        <f>'Solution  2, (hidden)'!U52</f>
        <v>#N/A</v>
      </c>
      <c r="J59" s="31" t="e">
        <f>'Solution 1, (hidden) (2)'!U52</f>
        <v>#N/A</v>
      </c>
      <c r="K59" s="31" t="e">
        <f>'Solution  2, (hidden) (2)'!U52</f>
        <v>#N/A</v>
      </c>
    </row>
    <row r="60" spans="3:11">
      <c r="C60" t="str">
        <f>'Solution 1, (hidden)'!B53</f>
        <v xml:space="preserve"> </v>
      </c>
      <c r="D60" t="str">
        <f>'Solution  2, (hidden)'!B53</f>
        <v xml:space="preserve"> </v>
      </c>
      <c r="E60" t="str">
        <f>IF('2. Inputs and results'!$C$23&gt;='2. Inputs and results'!$B$23,'Solution  2, (hidden)'!B53,'Solution 1, (hidden)'!B53)</f>
        <v xml:space="preserve"> </v>
      </c>
      <c r="F60" s="34" t="e">
        <f>'Solution 1, (hidden)'!Z53</f>
        <v>#N/A</v>
      </c>
      <c r="G60" s="34" t="e">
        <f>'Solution  2, (hidden)'!Z53</f>
        <v>#N/A</v>
      </c>
      <c r="H60" s="34" t="e">
        <f>'Solution 1, (hidden)'!U53</f>
        <v>#N/A</v>
      </c>
      <c r="I60" s="34" t="e">
        <f>'Solution  2, (hidden)'!U53</f>
        <v>#N/A</v>
      </c>
      <c r="J60" s="31" t="e">
        <f>'Solution 1, (hidden) (2)'!U53</f>
        <v>#N/A</v>
      </c>
      <c r="K60" s="31" t="e">
        <f>'Solution  2, (hidden) (2)'!U53</f>
        <v>#N/A</v>
      </c>
    </row>
    <row r="61" spans="3:11">
      <c r="C61" t="str">
        <f>'Solution 1, (hidden)'!B54</f>
        <v xml:space="preserve"> </v>
      </c>
      <c r="D61" t="str">
        <f>'Solution  2, (hidden)'!B54</f>
        <v xml:space="preserve"> </v>
      </c>
      <c r="E61" t="str">
        <f>IF('2. Inputs and results'!$C$23&gt;='2. Inputs and results'!$B$23,'Solution  2, (hidden)'!B54,'Solution 1, (hidden)'!B54)</f>
        <v xml:space="preserve"> </v>
      </c>
      <c r="F61" s="34" t="e">
        <f>'Solution 1, (hidden)'!Z54</f>
        <v>#N/A</v>
      </c>
      <c r="G61" s="34" t="e">
        <f>'Solution  2, (hidden)'!Z54</f>
        <v>#N/A</v>
      </c>
      <c r="H61" s="34" t="e">
        <f>'Solution 1, (hidden)'!U54</f>
        <v>#N/A</v>
      </c>
      <c r="I61" s="34" t="e">
        <f>'Solution  2, (hidden)'!U54</f>
        <v>#N/A</v>
      </c>
      <c r="J61" s="31" t="e">
        <f>'Solution 1, (hidden) (2)'!U54</f>
        <v>#N/A</v>
      </c>
      <c r="K61" s="31" t="e">
        <f>'Solution  2, (hidden) (2)'!U54</f>
        <v>#N/A</v>
      </c>
    </row>
    <row r="62" spans="3:11">
      <c r="C62" t="str">
        <f>'Solution 1, (hidden)'!B55</f>
        <v xml:space="preserve"> </v>
      </c>
      <c r="D62" t="str">
        <f>'Solution  2, (hidden)'!B55</f>
        <v xml:space="preserve"> </v>
      </c>
      <c r="E62" t="str">
        <f>IF('2. Inputs and results'!$C$23&gt;='2. Inputs and results'!$B$23,'Solution  2, (hidden)'!B55,'Solution 1, (hidden)'!B55)</f>
        <v xml:space="preserve"> </v>
      </c>
      <c r="F62" s="34" t="e">
        <f>'Solution 1, (hidden)'!Z55</f>
        <v>#N/A</v>
      </c>
      <c r="G62" s="34" t="e">
        <f>'Solution  2, (hidden)'!Z55</f>
        <v>#N/A</v>
      </c>
      <c r="H62" s="34" t="e">
        <f>'Solution 1, (hidden)'!U55</f>
        <v>#N/A</v>
      </c>
      <c r="I62" s="34" t="e">
        <f>'Solution  2, (hidden)'!U55</f>
        <v>#N/A</v>
      </c>
      <c r="J62" s="31" t="e">
        <f>'Solution 1, (hidden) (2)'!U55</f>
        <v>#N/A</v>
      </c>
      <c r="K62" s="31" t="e">
        <f>'Solution  2, (hidden) (2)'!U55</f>
        <v>#N/A</v>
      </c>
    </row>
    <row r="63" spans="3:11">
      <c r="F63" s="35"/>
      <c r="G63" s="35"/>
      <c r="H63" s="35"/>
      <c r="I63" s="35"/>
    </row>
  </sheetData>
  <sheetProtection sheet="1" objects="1" scenarios="1"/>
  <conditionalFormatting sqref="J1:K1048576">
    <cfRule type="containsErrors" dxfId="15" priority="2">
      <formula>ISERROR(J1)</formula>
    </cfRule>
  </conditionalFormatting>
  <conditionalFormatting sqref="E12:I62">
    <cfRule type="containsErrors" dxfId="14" priority="3">
      <formula>ISERROR(E12)</formula>
    </cfRule>
  </conditionalFormatting>
  <conditionalFormatting sqref="F12:K62">
    <cfRule type="cellIs" dxfId="13" priority="1" operator="lessThan">
      <formula>0</formula>
    </cfRule>
  </conditionalFormatting>
  <pageMargins left="0.7" right="0.7" top="0.75" bottom="0.75" header="0.3" footer="0.3"/>
  <pageSetup paperSize="9" scale="63"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18</vt:i4>
      </vt:variant>
      <vt:variant>
        <vt:lpstr>Nimetyt alueet</vt:lpstr>
      </vt:variant>
      <vt:variant>
        <vt:i4>2</vt:i4>
      </vt:variant>
    </vt:vector>
  </HeadingPairs>
  <TitlesOfParts>
    <vt:vector size="20" baseType="lpstr">
      <vt:lpstr>Decrease energy and costs</vt:lpstr>
      <vt:lpstr>1. Guidance for using tool</vt:lpstr>
      <vt:lpstr>2. Inputs and results</vt:lpstr>
      <vt:lpstr>Ventilation system</vt:lpstr>
      <vt:lpstr>Cooling system</vt:lpstr>
      <vt:lpstr>Type of building</vt:lpstr>
      <vt:lpstr>3. Package of Charts</vt:lpstr>
      <vt:lpstr>4. Cash flow </vt:lpstr>
      <vt:lpstr>5. NPV</vt:lpstr>
      <vt:lpstr>5. Return on investment</vt:lpstr>
      <vt:lpstr>6. Pay back time</vt:lpstr>
      <vt:lpstr>7. Change of CO2 emissions</vt:lpstr>
      <vt:lpstr>Change log (hidden)</vt:lpstr>
      <vt:lpstr>Heating system (hidden)</vt:lpstr>
      <vt:lpstr>Solution 1, (hidden)</vt:lpstr>
      <vt:lpstr>Solution  2, (hidden)</vt:lpstr>
      <vt:lpstr>Solution 1, (hidden) (2)</vt:lpstr>
      <vt:lpstr>Solution  2, (hidden) (2)</vt:lpstr>
      <vt:lpstr>'2. Inputs and results'!Tulostusalue</vt:lpstr>
      <vt:lpstr>'3. Package of Charts'!Tulostusalue</vt:lpstr>
    </vt:vector>
  </TitlesOfParts>
  <Company>Saimaan talous ja tieto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Nyholm Tanja</dc:creator>
  <cp:lastModifiedBy>Nyholm Tanja</cp:lastModifiedBy>
  <cp:lastPrinted>2019-04-23T09:52:00Z</cp:lastPrinted>
  <dcterms:created xsi:type="dcterms:W3CDTF">2018-07-02T09:44:00Z</dcterms:created>
  <dcterms:modified xsi:type="dcterms:W3CDTF">2024-02-13T09:51:56Z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6497171FA0E34A77A6B8C01F44CEC1C4_12</vt:lpwstr>
  </property>
  <property fmtid="{D5CDD505-2E9C-101B-9397-08002B2CF9AE}" pid="3" name="KSOProductBuildVer">
    <vt:lpwstr>1033-12.2.0.13431</vt:lpwstr>
  </property>
</Properties>
</file>